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6285" activeTab="0"/>
  </bookViews>
  <sheets>
    <sheet name="TT10 2011-12 for Web" sheetId="1" r:id="rId1"/>
  </sheets>
  <definedNames>
    <definedName name="_xlnm.Print_Area" localSheetId="0">'TT10 2011-12 for Web'!$A$1:$D$106</definedName>
    <definedName name="_xlnm.Print_Titles" localSheetId="0">'TT10 2011-12 for Web'!$1:$7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<sst xmlns="http://schemas.openxmlformats.org/spreadsheetml/2006/main" count="130" uniqueCount="96">
  <si>
    <t>DISTRICT NAME</t>
  </si>
  <si>
    <t>TUITION PAYMENT</t>
  </si>
  <si>
    <t>TOTAL PAYMENT</t>
  </si>
  <si>
    <t>State Total</t>
  </si>
  <si>
    <t>Bath</t>
  </si>
  <si>
    <t>Benton</t>
  </si>
  <si>
    <t>Berlin</t>
  </si>
  <si>
    <t>Bow</t>
  </si>
  <si>
    <t>Claremont</t>
  </si>
  <si>
    <t>Contoocook Valley</t>
  </si>
  <si>
    <t>Dover</t>
  </si>
  <si>
    <t>Epping</t>
  </si>
  <si>
    <t>Exeter Region Cooperative</t>
  </si>
  <si>
    <t>Fall Mountain Regional</t>
  </si>
  <si>
    <t>Farmington</t>
  </si>
  <si>
    <t>Franklin</t>
  </si>
  <si>
    <t>Gilford</t>
  </si>
  <si>
    <t>Goffstown</t>
  </si>
  <si>
    <t>Gorham Randolph Shelburne Coop</t>
  </si>
  <si>
    <t>Governor Wentworth Regional</t>
  </si>
  <si>
    <t>Haverhill Cooperative</t>
  </si>
  <si>
    <t>Hillsboro-Deering Cooperative</t>
  </si>
  <si>
    <t>Hinsdale</t>
  </si>
  <si>
    <t>Hollis/Brookline Cooperative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</si>
  <si>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</si>
  <si>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</si>
  <si>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</si>
  <si>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</si>
  <si>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</si>
  <si>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</si>
  <si>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</si>
  <si>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</si>
  <si>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 xml:space="preserve"> </t>
  </si>
  <si>
    <t>Lebanon</t>
  </si>
  <si>
    <t>Lincoln-Woodstock Cooperative</t>
  </si>
  <si>
    <t>Lisbon Regional</t>
  </si>
  <si>
    <t>Litchfield</t>
  </si>
  <si>
    <t>Londonderry</t>
  </si>
  <si>
    <t>Lyme</t>
  </si>
  <si>
    <t>Manchester</t>
  </si>
  <si>
    <t>Mascenic Regional</t>
  </si>
  <si>
    <t>Mascoma Valley</t>
  </si>
  <si>
    <t>Merrimack</t>
  </si>
  <si>
    <t>Merrimack Valley</t>
  </si>
  <si>
    <t>Milford</t>
  </si>
  <si>
    <t>Milton</t>
  </si>
  <si>
    <t>Monadnock Regional</t>
  </si>
  <si>
    <t>Moultonboro</t>
  </si>
  <si>
    <t>Nashua</t>
  </si>
  <si>
    <t>Newfound Area</t>
  </si>
  <si>
    <t>Newmarket</t>
  </si>
  <si>
    <t>Newport</t>
  </si>
  <si>
    <t>Northumberland</t>
  </si>
  <si>
    <t>Oyster River Cooperative</t>
  </si>
  <si>
    <t>Pelham</t>
  </si>
  <si>
    <t>Pembroke</t>
  </si>
  <si>
    <t>Pemi-Baker Regional</t>
  </si>
  <si>
    <t>Piermont</t>
  </si>
  <si>
    <t>Pittsfield</t>
  </si>
  <si>
    <t>Profile</t>
  </si>
  <si>
    <t>Raymond</t>
  </si>
  <si>
    <t>Rochester</t>
  </si>
  <si>
    <t>Salem</t>
  </si>
  <si>
    <t>Sanborn Regional</t>
  </si>
  <si>
    <t>Shaker Regional</t>
  </si>
  <si>
    <t>Somersworth</t>
  </si>
  <si>
    <t>Souhegan Cooperative</t>
  </si>
  <si>
    <t>Sunapee</t>
  </si>
  <si>
    <t>Timberlane Regional</t>
  </si>
  <si>
    <t>Warren</t>
  </si>
  <si>
    <t>Wilton-Lyndeboro Cooperative</t>
  </si>
  <si>
    <t>Winnacunnet Cooperative</t>
  </si>
  <si>
    <t>Winnisquam Regional</t>
  </si>
  <si>
    <t>Prospect Mountain</t>
  </si>
  <si>
    <t>Pinkerton Academy</t>
  </si>
  <si>
    <t>EQUAL OPPORTUNITY EMPLOYER - EQUAL EDUCATION OPPORTUNITIES</t>
  </si>
  <si>
    <t>Bedford</t>
  </si>
  <si>
    <t>Dresden</t>
  </si>
  <si>
    <t>Tuition &amp; Transportation  Alternative Education</t>
  </si>
  <si>
    <t>New Hampshire Department of Education</t>
  </si>
  <si>
    <t>Bureau of Career Development</t>
  </si>
  <si>
    <t>Colebrook</t>
  </si>
  <si>
    <t>Interlakes</t>
  </si>
  <si>
    <t>Windham</t>
  </si>
  <si>
    <t>South Hampton</t>
  </si>
  <si>
    <t>Rivendell Interstate</t>
  </si>
  <si>
    <t>Pittsburg</t>
  </si>
  <si>
    <t>Exeter</t>
  </si>
  <si>
    <t>School Year 2011-2012 CTE Tuition and Transportation Distribution</t>
  </si>
  <si>
    <t>Division of Career Technology and Adult Learning</t>
  </si>
  <si>
    <t>Concord*</t>
  </si>
  <si>
    <t>Littleton*</t>
  </si>
  <si>
    <t>White Mountains Regional*</t>
  </si>
  <si>
    <t>*Tuition Payment includes tuition differential</t>
  </si>
  <si>
    <t>TRANS PAYMENT</t>
  </si>
  <si>
    <t>Portsmouth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</si>
</sst>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* #,##0.00;&quot;$&quot;* #,##0.00"/>
    <numFmt numFmtId="166" formatCode="[$-409]dddd\,\ mmmm\ dd\,\ yyyy"/>
    <numFmt numFmtId="167" formatCode="_(&quot;$&quot;* #,##0.000_);_(&quot;$&quot;* \(#,##0.000\);_(&quot;$&quot;* &quot;-&quot;??_);_(@_)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0.0000000"/>
    <numFmt numFmtId="178" formatCode="0.0000000000000"/>
    <numFmt numFmtId="179" formatCode="_(* #,##0.000000000_);_(* \(#,##0.000000000\);_(* &quot;-&quot;?????????_);_(@_)"/>
    <numFmt numFmtId="180" formatCode="0.0_);[Red]\(0.0\)"/>
    <numFmt numFmtId="181" formatCode="0.0"/>
    <numFmt numFmtId="182" formatCode="#,##0.0_);\(#,##0.0\)"/>
    <numFmt numFmtId="183" formatCode="#,##0.0"/>
    <numFmt numFmtId="184" formatCode="0_);[Red]\(0\)"/>
    <numFmt numFmtId="185" formatCode="_(&quot;$&quot;* #,##0.0000_);_(&quot;$&quot;* \(#,##0.0000\);_(&quot;$&quot;* &quot;-&quot;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ambria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3" fontId="6" fillId="0" borderId="0" xfId="44" applyNumberFormat="1" applyFont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3" fontId="7" fillId="0" borderId="0" xfId="44" applyNumberFormat="1" applyFont="1" applyAlignment="1">
      <alignment/>
    </xf>
    <xf numFmtId="177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3" fontId="6" fillId="0" borderId="0" xfId="44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left"/>
    </xf>
    <xf numFmtId="43" fontId="8" fillId="0" borderId="10" xfId="44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43" fontId="7" fillId="0" borderId="0" xfId="44" applyNumberFormat="1" applyFont="1" applyFill="1" applyAlignment="1">
      <alignment/>
    </xf>
    <xf numFmtId="43" fontId="7" fillId="0" borderId="0" xfId="44" applyNumberFormat="1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14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32.00390625" style="0" customWidth="1"/>
    <col min="2" max="2" width="15.00390625" style="0" bestFit="1" customWidth="1"/>
    <col min="3" max="3" width="16.421875" style="0" bestFit="1" customWidth="1"/>
    <col min="4" max="4" width="14.8515625" style="0" bestFit="1" customWidth="1"/>
    <col min="5" max="5" width="2.57421875" style="0" customWidth="1"/>
    <col min="6" max="6" width="15.00390625" style="0" bestFit="1" customWidth="1"/>
    <col min="7" max="7" width="11.28125" style="0" bestFit="1" customWidth="1"/>
    <col min="8" max="8" width="12.8515625" style="0" bestFit="1" customWidth="1"/>
    <col min="10" max="10" width="9.8515625" style="0" bestFit="1" customWidth="1"/>
  </cols>
  <sheetData>
    <row r="1" spans="1:5" ht="12.75">
      <c r="A1" s="20" t="s">
        <v>79</v>
      </c>
      <c r="B1" s="20"/>
      <c r="C1" s="20"/>
      <c r="D1" s="20"/>
      <c r="E1" s="4"/>
    </row>
    <row r="2" spans="1:5" ht="12.75">
      <c r="A2" s="20" t="s">
        <v>89</v>
      </c>
      <c r="B2" s="20"/>
      <c r="C2" s="20"/>
      <c r="D2" s="20"/>
      <c r="E2" s="4"/>
    </row>
    <row r="3" spans="1:5" ht="12.75">
      <c r="A3" s="20" t="s">
        <v>80</v>
      </c>
      <c r="B3" s="20"/>
      <c r="C3" s="20"/>
      <c r="D3" s="20"/>
      <c r="E3" s="4"/>
    </row>
    <row r="4" spans="1:5" ht="4.5" customHeight="1">
      <c r="A4" s="10"/>
      <c r="B4" s="10"/>
      <c r="C4" s="10"/>
      <c r="D4" s="10"/>
      <c r="E4" s="4"/>
    </row>
    <row r="5" spans="1:5" ht="12.75">
      <c r="A5" s="21" t="s">
        <v>88</v>
      </c>
      <c r="B5" s="19"/>
      <c r="C5" s="19"/>
      <c r="D5" s="19"/>
      <c r="E5" s="4"/>
    </row>
    <row r="6" spans="1:8" ht="12.75">
      <c r="A6" s="22"/>
      <c r="B6" s="22"/>
      <c r="C6" s="22"/>
      <c r="D6" s="22"/>
      <c r="E6" s="4"/>
      <c r="H6" s="2" t="s">
        <v>32</v>
      </c>
    </row>
    <row r="7" spans="1:5" ht="12.75">
      <c r="A7" s="32" t="s">
        <v>0</v>
      </c>
      <c r="B7" s="33" t="s">
        <v>1</v>
      </c>
      <c r="C7" s="34" t="s">
        <v>94</v>
      </c>
      <c r="D7" s="34" t="s">
        <v>2</v>
      </c>
      <c r="E7" s="5"/>
    </row>
    <row r="8" spans="1:6" ht="12.75">
      <c r="A8" s="24" t="s">
        <v>3</v>
      </c>
      <c r="B8" s="25">
        <f>SUM(B9:B102)</f>
        <v>6380581.279999999</v>
      </c>
      <c r="C8" s="25">
        <f>SUM(C9:C102)</f>
        <v>519418.72000000003</v>
      </c>
      <c r="D8" s="25">
        <f>SUM(B8:C8)</f>
        <v>6899999.999999999</v>
      </c>
      <c r="E8" s="5"/>
      <c r="F8" s="11"/>
    </row>
    <row r="9" spans="1:8" ht="12.75">
      <c r="A9" s="26" t="s">
        <v>4</v>
      </c>
      <c r="B9" s="27">
        <f>8697.91+242.14</f>
        <v>8940.05</v>
      </c>
      <c r="C9" s="27">
        <f>690.35+19.22</f>
        <v>709.57</v>
      </c>
      <c r="D9" s="27">
        <f>SUM(B9:C9)</f>
        <v>9649.619999999999</v>
      </c>
      <c r="E9" s="7"/>
      <c r="F9" s="11"/>
      <c r="H9" s="2"/>
    </row>
    <row r="10" spans="1:8" ht="12.75">
      <c r="A10" s="26" t="s">
        <v>76</v>
      </c>
      <c r="B10" s="27">
        <v>0</v>
      </c>
      <c r="C10" s="27">
        <f>8073.46+224.75</f>
        <v>8298.21</v>
      </c>
      <c r="D10" s="27">
        <f>SUM(B10:C10)</f>
        <v>8298.21</v>
      </c>
      <c r="E10" s="7"/>
      <c r="F10" s="11"/>
      <c r="G10" s="6"/>
      <c r="H10" s="2"/>
    </row>
    <row r="11" spans="1:8" ht="12.75">
      <c r="A11" s="26" t="s">
        <v>5</v>
      </c>
      <c r="B11" s="27">
        <f>8697.91+242.14</f>
        <v>8940.05</v>
      </c>
      <c r="C11" s="27">
        <f>688.33+19.16</f>
        <v>707.49</v>
      </c>
      <c r="D11" s="27">
        <f>SUM(B11:C11)</f>
        <v>9647.539999999999</v>
      </c>
      <c r="E11" s="7"/>
      <c r="F11" s="11"/>
      <c r="G11" s="6"/>
      <c r="H11" s="2"/>
    </row>
    <row r="12" spans="1:8" ht="12.75">
      <c r="A12" s="26" t="s">
        <v>6</v>
      </c>
      <c r="B12" s="27">
        <f>61376.03+1708.58</f>
        <v>63084.61</v>
      </c>
      <c r="C12" s="27">
        <v>0</v>
      </c>
      <c r="D12" s="27">
        <f aca="true" t="shared" si="0" ref="D12:D43">SUM(B12:C12)</f>
        <v>63084.61</v>
      </c>
      <c r="E12" s="7"/>
      <c r="F12" s="12"/>
      <c r="H12" s="2"/>
    </row>
    <row r="13" spans="1:8" ht="12.75">
      <c r="A13" s="26" t="s">
        <v>7</v>
      </c>
      <c r="B13" s="27">
        <v>0</v>
      </c>
      <c r="C13" s="27">
        <f>4450.46+123.89</f>
        <v>4574.35</v>
      </c>
      <c r="D13" s="27">
        <f t="shared" si="0"/>
        <v>4574.35</v>
      </c>
      <c r="E13" s="7"/>
      <c r="H13" s="2"/>
    </row>
    <row r="14" spans="1:8" ht="12.75">
      <c r="A14" s="26" t="s">
        <v>8</v>
      </c>
      <c r="B14" s="27">
        <f>8684.07+241.75</f>
        <v>8925.82</v>
      </c>
      <c r="C14" s="27">
        <f>7214.02+200.83</f>
        <v>7414.85</v>
      </c>
      <c r="D14" s="27">
        <f t="shared" si="0"/>
        <v>16340.67</v>
      </c>
      <c r="E14" s="7"/>
      <c r="F14" s="2"/>
      <c r="H14" s="2" t="s">
        <v>32</v>
      </c>
    </row>
    <row r="15" spans="1:6" ht="12.75">
      <c r="A15" s="26" t="s">
        <v>81</v>
      </c>
      <c r="B15" s="27">
        <f>7773.4+216.39</f>
        <v>7989.79</v>
      </c>
      <c r="C15" s="27">
        <f>2563.57+71.37</f>
        <v>2634.94</v>
      </c>
      <c r="D15" s="27">
        <f t="shared" si="0"/>
        <v>10624.73</v>
      </c>
      <c r="E15" s="7"/>
      <c r="F15" s="2"/>
    </row>
    <row r="16" spans="1:5" ht="12.75">
      <c r="A16" s="26" t="s">
        <v>90</v>
      </c>
      <c r="B16" s="27">
        <f>767329.46+21360.94+104435.87</f>
        <v>893126.2699999999</v>
      </c>
      <c r="C16" s="27">
        <v>0</v>
      </c>
      <c r="D16" s="27">
        <f t="shared" si="0"/>
        <v>893126.2699999999</v>
      </c>
      <c r="E16" s="7"/>
    </row>
    <row r="17" spans="1:5" ht="12.75">
      <c r="A17" s="26" t="s">
        <v>9</v>
      </c>
      <c r="B17" s="27">
        <f>44284.99+1232.81</f>
        <v>45517.799999999996</v>
      </c>
      <c r="C17" s="27">
        <f>2765.58+76.99</f>
        <v>2842.5699999999997</v>
      </c>
      <c r="D17" s="27">
        <f t="shared" si="0"/>
        <v>48360.369999999995</v>
      </c>
      <c r="E17" s="8"/>
    </row>
    <row r="18" spans="1:5" ht="12.75">
      <c r="A18" s="26" t="s">
        <v>10</v>
      </c>
      <c r="B18" s="27">
        <f>102780.77+2861.23</f>
        <v>105642</v>
      </c>
      <c r="C18" s="27">
        <f>1632.86+45.45</f>
        <v>1678.31</v>
      </c>
      <c r="D18" s="27">
        <f t="shared" si="0"/>
        <v>107320.31</v>
      </c>
      <c r="E18" s="7"/>
    </row>
    <row r="19" spans="1:5" ht="12.75">
      <c r="A19" s="26" t="s">
        <v>77</v>
      </c>
      <c r="B19" s="27">
        <f>28764.48+2.55-13984.42</f>
        <v>14782.609999999999</v>
      </c>
      <c r="C19" s="27">
        <f>614.88+17.12</f>
        <v>632</v>
      </c>
      <c r="D19" s="27">
        <f t="shared" si="0"/>
        <v>15414.609999999999</v>
      </c>
      <c r="E19" s="7"/>
    </row>
    <row r="20" spans="1:6" ht="12.75">
      <c r="A20" s="26" t="s">
        <v>11</v>
      </c>
      <c r="B20" s="27">
        <v>0</v>
      </c>
      <c r="C20" s="27">
        <f>7923.93+220.59</f>
        <v>8144.52</v>
      </c>
      <c r="D20" s="27">
        <f t="shared" si="0"/>
        <v>8144.52</v>
      </c>
      <c r="E20" s="7"/>
      <c r="F20" s="13"/>
    </row>
    <row r="21" spans="1:5" ht="12.75">
      <c r="A21" s="26" t="s">
        <v>12</v>
      </c>
      <c r="B21" s="27">
        <f>1037946.96+19195.83</f>
        <v>1057142.79</v>
      </c>
      <c r="C21" s="27">
        <f>213.66+5.94</f>
        <v>219.6</v>
      </c>
      <c r="D21" s="27">
        <f t="shared" si="0"/>
        <v>1057362.3900000001</v>
      </c>
      <c r="E21" s="7"/>
    </row>
    <row r="22" spans="1:6" ht="12.75">
      <c r="A22" s="26" t="s">
        <v>13</v>
      </c>
      <c r="B22" s="27">
        <f>194888.09+5425.3</f>
        <v>200313.38999999998</v>
      </c>
      <c r="C22" s="27">
        <f>18151.04+505.3</f>
        <v>18656.34</v>
      </c>
      <c r="D22" s="27">
        <f t="shared" si="0"/>
        <v>218969.72999999998</v>
      </c>
      <c r="E22" s="7"/>
      <c r="F22" s="12"/>
    </row>
    <row r="23" spans="1:5" ht="12.75">
      <c r="A23" s="26" t="s">
        <v>14</v>
      </c>
      <c r="B23" s="27">
        <v>0</v>
      </c>
      <c r="C23" s="27">
        <f>10516.07+292.76</f>
        <v>10808.83</v>
      </c>
      <c r="D23" s="27">
        <f t="shared" si="0"/>
        <v>10808.83</v>
      </c>
      <c r="E23" s="7"/>
    </row>
    <row r="24" spans="1:5" ht="12.75">
      <c r="A24" s="26" t="s">
        <v>15</v>
      </c>
      <c r="B24" s="27">
        <v>0</v>
      </c>
      <c r="C24" s="27">
        <f>7009.37+195.13</f>
        <v>7204.5</v>
      </c>
      <c r="D24" s="27">
        <f t="shared" si="0"/>
        <v>7204.5</v>
      </c>
      <c r="E24" s="7"/>
    </row>
    <row r="25" spans="1:5" ht="12.75">
      <c r="A25" s="26" t="s">
        <v>16</v>
      </c>
      <c r="B25" s="27">
        <v>0</v>
      </c>
      <c r="C25" s="27">
        <f>6523.21+181.59</f>
        <v>6704.8</v>
      </c>
      <c r="D25" s="27">
        <f t="shared" si="0"/>
        <v>6704.8</v>
      </c>
      <c r="E25" s="7"/>
    </row>
    <row r="26" spans="1:5" ht="12.75">
      <c r="A26" s="26" t="s">
        <v>17</v>
      </c>
      <c r="B26" s="27">
        <v>0</v>
      </c>
      <c r="C26" s="27">
        <f>17467.38+486.26</f>
        <v>17953.64</v>
      </c>
      <c r="D26" s="27">
        <f t="shared" si="0"/>
        <v>17953.64</v>
      </c>
      <c r="E26" s="7"/>
    </row>
    <row r="27" spans="1:5" ht="12.75">
      <c r="A27" s="26" t="s">
        <v>18</v>
      </c>
      <c r="B27" s="27">
        <v>0</v>
      </c>
      <c r="C27" s="27">
        <f>3255.32+90.62</f>
        <v>3345.94</v>
      </c>
      <c r="D27" s="27">
        <f t="shared" si="0"/>
        <v>3345.94</v>
      </c>
      <c r="E27" s="7"/>
    </row>
    <row r="28" spans="1:5" ht="12.75">
      <c r="A28" s="26" t="s">
        <v>19</v>
      </c>
      <c r="B28" s="27">
        <f>208282.97+5798.19</f>
        <v>214081.16</v>
      </c>
      <c r="C28" s="27">
        <v>0</v>
      </c>
      <c r="D28" s="27">
        <f t="shared" si="0"/>
        <v>214081.16</v>
      </c>
      <c r="E28" s="7"/>
    </row>
    <row r="29" spans="1:5" ht="12.75">
      <c r="A29" s="26" t="s">
        <v>20</v>
      </c>
      <c r="B29" s="27">
        <f>146994.73+4092.05</f>
        <v>151086.78</v>
      </c>
      <c r="C29" s="27">
        <f>11425.05+318.05</f>
        <v>11743.099999999999</v>
      </c>
      <c r="D29" s="27">
        <f t="shared" si="0"/>
        <v>162829.88</v>
      </c>
      <c r="E29" s="7"/>
    </row>
    <row r="30" spans="1:5" ht="12.75">
      <c r="A30" s="26" t="s">
        <v>21</v>
      </c>
      <c r="B30" s="27">
        <v>0</v>
      </c>
      <c r="C30" s="27">
        <f>17017.24+473.72</f>
        <v>17490.960000000003</v>
      </c>
      <c r="D30" s="27">
        <f t="shared" si="0"/>
        <v>17490.960000000003</v>
      </c>
      <c r="E30" s="7"/>
    </row>
    <row r="31" spans="1:5" ht="12.75">
      <c r="A31" s="26" t="s">
        <v>22</v>
      </c>
      <c r="B31" s="27">
        <f>31117.18+866.24</f>
        <v>31983.420000000002</v>
      </c>
      <c r="C31" s="27">
        <f>1602.43+44.6</f>
        <v>1647.03</v>
      </c>
      <c r="D31" s="27">
        <f t="shared" si="0"/>
        <v>33630.450000000004</v>
      </c>
      <c r="E31" s="7"/>
    </row>
    <row r="32" spans="1:5" ht="12.75">
      <c r="A32" s="26" t="s">
        <v>23</v>
      </c>
      <c r="B32" s="27">
        <v>0</v>
      </c>
      <c r="C32" s="27">
        <f>4203.89+117.02</f>
        <v>4320.910000000001</v>
      </c>
      <c r="D32" s="27">
        <f t="shared" si="0"/>
        <v>4320.910000000001</v>
      </c>
      <c r="E32" s="7"/>
    </row>
    <row r="33" spans="1:5" ht="12.75">
      <c r="A33" s="26" t="s">
        <v>24</v>
      </c>
      <c r="B33" s="27">
        <v>0</v>
      </c>
      <c r="C33" s="27">
        <f>2364.82+65.83</f>
        <v>2430.65</v>
      </c>
      <c r="D33" s="27">
        <f t="shared" si="0"/>
        <v>2430.65</v>
      </c>
      <c r="E33" s="7"/>
    </row>
    <row r="34" spans="1:5" ht="12.75">
      <c r="A34" s="26" t="s">
        <v>25</v>
      </c>
      <c r="B34" s="27">
        <f>152802.9+4253.74</f>
        <v>157056.63999999998</v>
      </c>
      <c r="C34" s="27">
        <f>2482.05+69.1</f>
        <v>2551.15</v>
      </c>
      <c r="D34" s="27">
        <f t="shared" si="0"/>
        <v>159607.78999999998</v>
      </c>
      <c r="E34" s="7"/>
    </row>
    <row r="35" spans="1:5" ht="12.75">
      <c r="A35" s="26" t="s">
        <v>26</v>
      </c>
      <c r="B35" s="27">
        <v>0</v>
      </c>
      <c r="C35" s="27">
        <f>8656.36+240.98</f>
        <v>8897.34</v>
      </c>
      <c r="D35" s="27">
        <f t="shared" si="0"/>
        <v>8897.34</v>
      </c>
      <c r="E35" s="7"/>
    </row>
    <row r="36" spans="1:5" ht="12.75">
      <c r="A36" s="26" t="s">
        <v>27</v>
      </c>
      <c r="B36" s="27">
        <v>0</v>
      </c>
      <c r="C36" s="27">
        <f>6564.98+182.75</f>
        <v>6747.73</v>
      </c>
      <c r="D36" s="27">
        <f t="shared" si="0"/>
        <v>6747.73</v>
      </c>
      <c r="E36" s="7"/>
    </row>
    <row r="37" spans="1:5" ht="12.75">
      <c r="A37" s="26" t="s">
        <v>28</v>
      </c>
      <c r="B37" s="27">
        <v>0</v>
      </c>
      <c r="C37" s="27">
        <f>11526.75+320.89</f>
        <v>11847.64</v>
      </c>
      <c r="D37" s="27">
        <f t="shared" si="0"/>
        <v>11847.64</v>
      </c>
      <c r="E37" s="7"/>
    </row>
    <row r="38" spans="1:5" ht="12.75">
      <c r="A38" s="26" t="s">
        <v>29</v>
      </c>
      <c r="B38" s="27">
        <v>0</v>
      </c>
      <c r="C38" s="27">
        <f>10631.75+295.98</f>
        <v>10927.73</v>
      </c>
      <c r="D38" s="27">
        <f t="shared" si="0"/>
        <v>10927.73</v>
      </c>
      <c r="E38" s="7"/>
    </row>
    <row r="39" spans="1:5" ht="12.75">
      <c r="A39" s="26" t="s">
        <v>30</v>
      </c>
      <c r="B39" s="27">
        <f>157207.94+4376.36</f>
        <v>161584.3</v>
      </c>
      <c r="C39" s="27">
        <v>0</v>
      </c>
      <c r="D39" s="27">
        <f t="shared" si="0"/>
        <v>161584.3</v>
      </c>
      <c r="E39" s="7"/>
    </row>
    <row r="40" spans="1:5" ht="12.75">
      <c r="A40" s="26" t="s">
        <v>31</v>
      </c>
      <c r="B40" s="27">
        <f>861142.77+124.4-150149.2</f>
        <v>711117.97</v>
      </c>
      <c r="C40" s="27">
        <f>671.56+18.69</f>
        <v>690.25</v>
      </c>
      <c r="D40" s="27">
        <f t="shared" si="0"/>
        <v>711808.22</v>
      </c>
      <c r="E40" s="7" t="s">
        <v>32</v>
      </c>
    </row>
    <row r="41" spans="1:5" ht="12.75">
      <c r="A41" s="26" t="s">
        <v>33</v>
      </c>
      <c r="B41" s="27">
        <f>269811.1+7511.01</f>
        <v>277322.11</v>
      </c>
      <c r="C41" s="27">
        <f>9000.42+250.55</f>
        <v>9250.97</v>
      </c>
      <c r="D41" s="27">
        <f t="shared" si="0"/>
        <v>286573.07999999996</v>
      </c>
      <c r="E41" s="8" t="s">
        <v>32</v>
      </c>
    </row>
    <row r="42" spans="1:5" ht="12.75">
      <c r="A42" s="26" t="s">
        <v>34</v>
      </c>
      <c r="B42" s="27">
        <v>0</v>
      </c>
      <c r="C42" s="27">
        <f>4587.41+127.7</f>
        <v>4715.11</v>
      </c>
      <c r="D42" s="27">
        <f t="shared" si="0"/>
        <v>4715.11</v>
      </c>
      <c r="E42" s="8" t="s">
        <v>32</v>
      </c>
    </row>
    <row r="43" spans="1:5" ht="12.75">
      <c r="A43" s="26" t="s">
        <v>35</v>
      </c>
      <c r="B43" s="27">
        <v>0</v>
      </c>
      <c r="C43" s="27">
        <f>7084.84+197.22</f>
        <v>7282.06</v>
      </c>
      <c r="D43" s="27">
        <f t="shared" si="0"/>
        <v>7282.06</v>
      </c>
      <c r="E43" s="8" t="s">
        <v>32</v>
      </c>
    </row>
    <row r="44" spans="1:5" ht="12.75">
      <c r="A44" s="26" t="s">
        <v>36</v>
      </c>
      <c r="B44" s="27">
        <v>0</v>
      </c>
      <c r="C44" s="27">
        <f>2202.4+61.31-430.3</f>
        <v>1833.41</v>
      </c>
      <c r="D44" s="27">
        <f aca="true" t="shared" si="1" ref="D44:D78">SUM(B44:C44)</f>
        <v>1833.41</v>
      </c>
      <c r="E44" s="8" t="s">
        <v>32</v>
      </c>
    </row>
    <row r="45" spans="1:5" ht="12.75">
      <c r="A45" s="26" t="s">
        <v>91</v>
      </c>
      <c r="B45" s="27">
        <f>204467.34+5691.96+64684.07</f>
        <v>274843.37</v>
      </c>
      <c r="C45" s="27">
        <f>1058.66+29.47</f>
        <v>1088.13</v>
      </c>
      <c r="D45" s="27">
        <f t="shared" si="1"/>
        <v>275931.5</v>
      </c>
      <c r="E45" s="8" t="s">
        <v>32</v>
      </c>
    </row>
    <row r="46" spans="1:5" ht="12.75">
      <c r="A46" s="26" t="s">
        <v>37</v>
      </c>
      <c r="B46" s="27">
        <v>0</v>
      </c>
      <c r="C46" s="27">
        <f>20751.26+577.67</f>
        <v>21328.929999999997</v>
      </c>
      <c r="D46" s="27">
        <f t="shared" si="1"/>
        <v>21328.929999999997</v>
      </c>
      <c r="E46" s="8"/>
    </row>
    <row r="47" spans="1:5" ht="12.75">
      <c r="A47" s="26" t="s">
        <v>38</v>
      </c>
      <c r="B47" s="27">
        <f>35731.49+994.7</f>
        <v>36726.189999999995</v>
      </c>
      <c r="C47" s="27">
        <v>0</v>
      </c>
      <c r="D47" s="27">
        <f t="shared" si="1"/>
        <v>36726.189999999995</v>
      </c>
      <c r="E47" s="8"/>
    </row>
    <row r="48" spans="1:5" ht="12.75">
      <c r="A48" s="26" t="s">
        <v>39</v>
      </c>
      <c r="B48" s="27">
        <f>529132.78+14730.02</f>
        <v>543862.8</v>
      </c>
      <c r="C48" s="27">
        <v>0</v>
      </c>
      <c r="D48" s="27">
        <f t="shared" si="1"/>
        <v>543862.8</v>
      </c>
      <c r="E48" s="8" t="s">
        <v>32</v>
      </c>
    </row>
    <row r="49" spans="1:7" ht="12.75">
      <c r="A49" s="26" t="s">
        <v>40</v>
      </c>
      <c r="B49" s="27">
        <f>16188.94+7018.97</f>
        <v>23207.91</v>
      </c>
      <c r="C49" s="28">
        <f>1129.62+31.44+2917.63</f>
        <v>4078.69</v>
      </c>
      <c r="D49" s="27">
        <f t="shared" si="1"/>
        <v>27286.6</v>
      </c>
      <c r="E49" s="8" t="s">
        <v>32</v>
      </c>
      <c r="F49" s="18" t="s">
        <v>32</v>
      </c>
      <c r="G49" t="s">
        <v>32</v>
      </c>
    </row>
    <row r="50" spans="1:5" ht="12.75">
      <c r="A50" s="26" t="s">
        <v>41</v>
      </c>
      <c r="B50" s="27">
        <f>175183.02+4876.75</f>
        <v>180059.77</v>
      </c>
      <c r="C50" s="27">
        <f>16663.37+463.87</f>
        <v>17127.239999999998</v>
      </c>
      <c r="D50" s="27">
        <f t="shared" si="1"/>
        <v>197187.00999999998</v>
      </c>
      <c r="E50" s="8" t="s">
        <v>32</v>
      </c>
    </row>
    <row r="51" spans="1:5" ht="12.75">
      <c r="A51" s="26" t="s">
        <v>42</v>
      </c>
      <c r="B51" s="27">
        <v>0</v>
      </c>
      <c r="C51" s="27">
        <f>10197.77+283.88</f>
        <v>10481.65</v>
      </c>
      <c r="D51" s="27">
        <f t="shared" si="1"/>
        <v>10481.65</v>
      </c>
      <c r="E51" s="8" t="s">
        <v>32</v>
      </c>
    </row>
    <row r="52" spans="1:5" ht="12.75">
      <c r="A52" s="26" t="s">
        <v>43</v>
      </c>
      <c r="B52" s="27">
        <v>0</v>
      </c>
      <c r="C52" s="27">
        <f>18640.78+518.93</f>
        <v>19159.71</v>
      </c>
      <c r="D52" s="27">
        <f t="shared" si="1"/>
        <v>19159.71</v>
      </c>
      <c r="E52" s="8" t="s">
        <v>32</v>
      </c>
    </row>
    <row r="53" spans="1:5" ht="12.75">
      <c r="A53" s="26" t="s">
        <v>44</v>
      </c>
      <c r="B53" s="27">
        <f>58927.61+1640.42</f>
        <v>60568.03</v>
      </c>
      <c r="C53" s="27">
        <f>1847.3+51.41</f>
        <v>1898.71</v>
      </c>
      <c r="D53" s="27">
        <f t="shared" si="1"/>
        <v>62466.74</v>
      </c>
      <c r="E53" s="8" t="s">
        <v>32</v>
      </c>
    </row>
    <row r="54" spans="1:5" ht="12.75">
      <c r="A54" s="26" t="s">
        <v>45</v>
      </c>
      <c r="B54" s="27">
        <v>0</v>
      </c>
      <c r="C54" s="27">
        <f>8711.49+242.5</f>
        <v>8953.99</v>
      </c>
      <c r="D54" s="27">
        <f t="shared" si="1"/>
        <v>8953.99</v>
      </c>
      <c r="E54" s="8" t="s">
        <v>32</v>
      </c>
    </row>
    <row r="55" spans="1:5" ht="12.75">
      <c r="A55" s="26" t="s">
        <v>46</v>
      </c>
      <c r="B55" s="27">
        <v>0</v>
      </c>
      <c r="C55" s="27">
        <f>5734.26+159.64</f>
        <v>5893.900000000001</v>
      </c>
      <c r="D55" s="27">
        <f t="shared" si="1"/>
        <v>5893.900000000001</v>
      </c>
      <c r="E55" s="8" t="s">
        <v>32</v>
      </c>
    </row>
    <row r="56" spans="1:5" ht="12.75">
      <c r="A56" s="26" t="s">
        <v>47</v>
      </c>
      <c r="B56" s="27">
        <v>0</v>
      </c>
      <c r="C56" s="27">
        <f>5768.73+160.59</f>
        <v>5929.32</v>
      </c>
      <c r="D56" s="27">
        <f t="shared" si="1"/>
        <v>5929.32</v>
      </c>
      <c r="E56" s="8" t="s">
        <v>32</v>
      </c>
    </row>
    <row r="57" spans="1:5" ht="12.75">
      <c r="A57" s="26" t="s">
        <v>48</v>
      </c>
      <c r="B57" s="27">
        <f>151450.27+4216.08</f>
        <v>155666.34999999998</v>
      </c>
      <c r="C57" s="27">
        <f>2546.49+70.89</f>
        <v>2617.3799999999997</v>
      </c>
      <c r="D57" s="27">
        <f t="shared" si="1"/>
        <v>158283.72999999998</v>
      </c>
      <c r="E57" s="8" t="s">
        <v>32</v>
      </c>
    </row>
    <row r="58" spans="1:5" ht="12.75">
      <c r="A58" s="26" t="s">
        <v>49</v>
      </c>
      <c r="B58" s="27">
        <v>0</v>
      </c>
      <c r="C58" s="27">
        <f>6710.16+186.8</f>
        <v>6896.96</v>
      </c>
      <c r="D58" s="27">
        <f t="shared" si="1"/>
        <v>6896.96</v>
      </c>
      <c r="E58" s="8"/>
    </row>
    <row r="59" spans="1:5" ht="12.75">
      <c r="A59" s="26" t="s">
        <v>50</v>
      </c>
      <c r="B59" s="27">
        <v>0</v>
      </c>
      <c r="C59" s="27">
        <f>8846.88+246.28</f>
        <v>9093.16</v>
      </c>
      <c r="D59" s="27">
        <f t="shared" si="1"/>
        <v>9093.16</v>
      </c>
      <c r="E59" s="8"/>
    </row>
    <row r="60" spans="1:5" ht="12.75">
      <c r="A60" s="26" t="s">
        <v>51</v>
      </c>
      <c r="B60" s="27">
        <f>109372.61+3044.72</f>
        <v>112417.33</v>
      </c>
      <c r="C60" s="27">
        <f>2125.7+59.17</f>
        <v>2184.87</v>
      </c>
      <c r="D60" s="27">
        <f t="shared" si="1"/>
        <v>114602.2</v>
      </c>
      <c r="E60" s="8"/>
    </row>
    <row r="61" spans="1:5" ht="12.75">
      <c r="A61" s="26" t="s">
        <v>52</v>
      </c>
      <c r="B61" s="27">
        <v>0</v>
      </c>
      <c r="C61" s="27">
        <f>10696.81+297.79</f>
        <v>10994.6</v>
      </c>
      <c r="D61" s="27">
        <f t="shared" si="1"/>
        <v>10994.6</v>
      </c>
      <c r="E61" s="8"/>
    </row>
    <row r="62" spans="1:5" ht="12.75">
      <c r="A62" s="26" t="s">
        <v>53</v>
      </c>
      <c r="B62" s="27">
        <v>0</v>
      </c>
      <c r="C62" s="27">
        <f>3729.37+103.82</f>
        <v>3833.19</v>
      </c>
      <c r="D62" s="27">
        <f t="shared" si="1"/>
        <v>3833.19</v>
      </c>
      <c r="E62" s="8"/>
    </row>
    <row r="63" spans="1:5" ht="12.75">
      <c r="A63" s="26" t="s">
        <v>54</v>
      </c>
      <c r="B63" s="27">
        <v>0</v>
      </c>
      <c r="C63" s="27">
        <f>9126.99+254.09</f>
        <v>9381.08</v>
      </c>
      <c r="D63" s="27">
        <f t="shared" si="1"/>
        <v>9381.08</v>
      </c>
      <c r="E63" s="8"/>
    </row>
    <row r="64" spans="1:5" ht="12.75">
      <c r="A64" s="26" t="s">
        <v>55</v>
      </c>
      <c r="B64" s="27">
        <v>0</v>
      </c>
      <c r="C64" s="27">
        <f>8135.11+226.46</f>
        <v>8361.57</v>
      </c>
      <c r="D64" s="27">
        <f t="shared" si="1"/>
        <v>8361.57</v>
      </c>
      <c r="E64" s="8"/>
    </row>
    <row r="65" spans="1:5" ht="12.75">
      <c r="A65" s="26" t="s">
        <v>56</v>
      </c>
      <c r="B65" s="27">
        <f>74552.09+2075.38</f>
        <v>76627.47</v>
      </c>
      <c r="C65" s="27">
        <v>0</v>
      </c>
      <c r="D65" s="27">
        <f t="shared" si="1"/>
        <v>76627.47</v>
      </c>
      <c r="E65" s="8"/>
    </row>
    <row r="66" spans="1:5" ht="12.75">
      <c r="A66" s="26" t="s">
        <v>57</v>
      </c>
      <c r="B66" s="27">
        <f>40409.85+1124.93</f>
        <v>41534.78</v>
      </c>
      <c r="C66" s="27">
        <f>512.71+480.94</f>
        <v>993.6500000000001</v>
      </c>
      <c r="D66" s="27">
        <f t="shared" si="1"/>
        <v>42528.43</v>
      </c>
      <c r="E66" s="8"/>
    </row>
    <row r="67" spans="1:5" ht="12.75">
      <c r="A67" s="26" t="s">
        <v>86</v>
      </c>
      <c r="B67" s="27">
        <f>3930.37+109.41</f>
        <v>4039.7799999999997</v>
      </c>
      <c r="C67" s="27">
        <f>252.24+7.02</f>
        <v>259.26</v>
      </c>
      <c r="D67" s="27">
        <f>SUM(B67:C67)</f>
        <v>4299.04</v>
      </c>
      <c r="E67" s="8"/>
    </row>
    <row r="68" spans="1:5" ht="12.75">
      <c r="A68" s="26" t="s">
        <v>58</v>
      </c>
      <c r="B68" s="27">
        <v>0</v>
      </c>
      <c r="C68" s="27">
        <f>4059.63+113.02</f>
        <v>4172.650000000001</v>
      </c>
      <c r="D68" s="27">
        <f t="shared" si="1"/>
        <v>4172.650000000001</v>
      </c>
      <c r="E68" s="8"/>
    </row>
    <row r="69" spans="1:5" ht="12.75">
      <c r="A69" s="26" t="s">
        <v>95</v>
      </c>
      <c r="B69" s="27">
        <v>-278.28</v>
      </c>
      <c r="C69" s="27">
        <v>0</v>
      </c>
      <c r="D69" s="27">
        <f t="shared" si="1"/>
        <v>-278.28</v>
      </c>
      <c r="E69" s="8"/>
    </row>
    <row r="70" spans="1:5" ht="12.75">
      <c r="A70" s="26" t="s">
        <v>59</v>
      </c>
      <c r="B70" s="27">
        <v>0</v>
      </c>
      <c r="C70" s="27">
        <f>2339.97+65.15</f>
        <v>2405.12</v>
      </c>
      <c r="D70" s="27">
        <f t="shared" si="1"/>
        <v>2405.12</v>
      </c>
      <c r="E70" s="8"/>
    </row>
    <row r="71" spans="1:5" ht="12.75">
      <c r="A71" s="26" t="s">
        <v>60</v>
      </c>
      <c r="B71" s="27">
        <v>0</v>
      </c>
      <c r="C71" s="27">
        <f>17405.27+484.53</f>
        <v>17889.8</v>
      </c>
      <c r="D71" s="27">
        <f t="shared" si="1"/>
        <v>17889.8</v>
      </c>
      <c r="E71" s="8"/>
    </row>
    <row r="72" spans="1:5" ht="12.75">
      <c r="A72" s="26" t="s">
        <v>85</v>
      </c>
      <c r="B72" s="27">
        <f>30228.8+841.51</f>
        <v>31070.309999999998</v>
      </c>
      <c r="C72" s="27">
        <f>2912.66+81.09</f>
        <v>2993.75</v>
      </c>
      <c r="D72" s="27">
        <f>SUM(B72:C72)</f>
        <v>34064.06</v>
      </c>
      <c r="E72" s="8"/>
    </row>
    <row r="73" spans="1:7" ht="12.75">
      <c r="A73" s="26" t="s">
        <v>61</v>
      </c>
      <c r="B73" s="27">
        <f>33056.34+920.23</f>
        <v>33976.57</v>
      </c>
      <c r="C73" s="27">
        <f>7879.06+219.34</f>
        <v>8098.400000000001</v>
      </c>
      <c r="D73" s="27">
        <f t="shared" si="1"/>
        <v>42074.97</v>
      </c>
      <c r="E73" s="8"/>
      <c r="G73" t="s">
        <v>32</v>
      </c>
    </row>
    <row r="74" spans="1:7" ht="12.75">
      <c r="A74" s="26" t="s">
        <v>62</v>
      </c>
      <c r="B74" s="27">
        <f>166821.04+4643.96</f>
        <v>171465</v>
      </c>
      <c r="C74" s="27">
        <f>5149.27+143.34</f>
        <v>5292.610000000001</v>
      </c>
      <c r="D74" s="27">
        <f t="shared" si="1"/>
        <v>176757.61</v>
      </c>
      <c r="E74" s="8"/>
      <c r="G74" t="s">
        <v>32</v>
      </c>
    </row>
    <row r="75" spans="1:7" ht="12.75">
      <c r="A75" s="26" t="s">
        <v>63</v>
      </c>
      <c r="B75" s="27">
        <v>0</v>
      </c>
      <c r="C75" s="27">
        <f>22046.4+613.73</f>
        <v>22660.13</v>
      </c>
      <c r="D75" s="27">
        <f t="shared" si="1"/>
        <v>22660.13</v>
      </c>
      <c r="E75" s="9" t="s">
        <v>32</v>
      </c>
      <c r="G75" t="s">
        <v>32</v>
      </c>
    </row>
    <row r="76" spans="1:7" ht="12.75">
      <c r="A76" s="26" t="s">
        <v>64</v>
      </c>
      <c r="B76" s="27">
        <v>0</v>
      </c>
      <c r="C76" s="27">
        <f>11543.06+321.33</f>
        <v>11864.39</v>
      </c>
      <c r="D76" s="27">
        <f t="shared" si="1"/>
        <v>11864.39</v>
      </c>
      <c r="E76" s="7"/>
      <c r="G76" t="s">
        <v>32</v>
      </c>
    </row>
    <row r="77" spans="1:5" ht="12.75">
      <c r="A77" s="26" t="s">
        <v>65</v>
      </c>
      <c r="B77" s="27">
        <f>50744.24+1412.62</f>
        <v>52156.86</v>
      </c>
      <c r="C77" s="27">
        <f>1191.88+33.18</f>
        <v>1225.0600000000002</v>
      </c>
      <c r="D77" s="27">
        <f t="shared" si="1"/>
        <v>53381.92</v>
      </c>
      <c r="E77" s="7"/>
    </row>
    <row r="78" spans="1:5" ht="12.75">
      <c r="A78" s="26" t="s">
        <v>66</v>
      </c>
      <c r="B78" s="27">
        <v>0</v>
      </c>
      <c r="C78" s="27">
        <f>2138.28+59.53</f>
        <v>2197.8100000000004</v>
      </c>
      <c r="D78" s="27">
        <f t="shared" si="1"/>
        <v>2197.8100000000004</v>
      </c>
      <c r="E78" s="7"/>
    </row>
    <row r="79" spans="1:5" ht="12.75">
      <c r="A79" s="26" t="s">
        <v>84</v>
      </c>
      <c r="B79" s="27">
        <f>40870.02+1137.74</f>
        <v>42007.759999999995</v>
      </c>
      <c r="C79" s="27">
        <f>2074.46+57.75</f>
        <v>2132.21</v>
      </c>
      <c r="D79" s="27">
        <f>SUM(B79:C79)</f>
        <v>44139.969999999994</v>
      </c>
      <c r="E79" s="7"/>
    </row>
    <row r="80" spans="1:5" ht="12.75">
      <c r="A80" s="26" t="s">
        <v>67</v>
      </c>
      <c r="B80" s="27">
        <v>0</v>
      </c>
      <c r="C80" s="27">
        <f>1920.74+53.47</f>
        <v>1974.21</v>
      </c>
      <c r="D80" s="27">
        <f aca="true" t="shared" si="2" ref="D80:D89">SUM(B80:C80)</f>
        <v>1974.21</v>
      </c>
      <c r="E80" s="7"/>
    </row>
    <row r="81" spans="1:5" ht="12.75">
      <c r="A81" s="26" t="s">
        <v>68</v>
      </c>
      <c r="B81" s="27">
        <v>0</v>
      </c>
      <c r="C81" s="27">
        <f>13661.77+380.31</f>
        <v>14042.08</v>
      </c>
      <c r="D81" s="27">
        <f t="shared" si="2"/>
        <v>14042.08</v>
      </c>
      <c r="E81" s="7"/>
    </row>
    <row r="82" spans="1:5" ht="12.75">
      <c r="A82" s="26" t="s">
        <v>69</v>
      </c>
      <c r="B82" s="27">
        <f>29041.36+808.46</f>
        <v>29849.82</v>
      </c>
      <c r="C82" s="27">
        <f>2228.49+62.04</f>
        <v>2290.5299999999997</v>
      </c>
      <c r="D82" s="27">
        <f t="shared" si="2"/>
        <v>32140.35</v>
      </c>
      <c r="E82" s="7"/>
    </row>
    <row r="83" spans="1:5" ht="12.75">
      <c r="A83" s="26" t="s">
        <v>92</v>
      </c>
      <c r="B83" s="27">
        <f>42360.9+1179.25+11514.11</f>
        <v>55054.26</v>
      </c>
      <c r="C83" s="27">
        <f>6973.66+194.13</f>
        <v>7167.79</v>
      </c>
      <c r="D83" s="27">
        <f t="shared" si="2"/>
        <v>62222.05</v>
      </c>
      <c r="E83" s="7"/>
    </row>
    <row r="84" spans="1:5" ht="12.75">
      <c r="A84" s="26" t="s">
        <v>70</v>
      </c>
      <c r="B84" s="27">
        <v>0</v>
      </c>
      <c r="C84" s="27">
        <f>906.8+25.24</f>
        <v>932.04</v>
      </c>
      <c r="D84" s="27">
        <f t="shared" si="2"/>
        <v>932.04</v>
      </c>
      <c r="E84" s="7"/>
    </row>
    <row r="85" spans="1:10" ht="12.75">
      <c r="A85" s="26" t="s">
        <v>83</v>
      </c>
      <c r="B85" s="27">
        <v>0</v>
      </c>
      <c r="C85" s="27">
        <f>4324.22+120.38</f>
        <v>4444.6</v>
      </c>
      <c r="D85" s="27">
        <f t="shared" si="2"/>
        <v>4444.6</v>
      </c>
      <c r="E85" s="7"/>
      <c r="J85" s="2"/>
    </row>
    <row r="86" spans="1:5" ht="12.75">
      <c r="A86" s="26" t="s">
        <v>71</v>
      </c>
      <c r="B86" s="27">
        <v>0</v>
      </c>
      <c r="C86" s="27">
        <f>14448.39+402.21</f>
        <v>14850.599999999999</v>
      </c>
      <c r="D86" s="27">
        <f t="shared" si="2"/>
        <v>14850.599999999999</v>
      </c>
      <c r="E86" s="7"/>
    </row>
    <row r="87" spans="1:5" ht="12.75">
      <c r="A87" s="26" t="s">
        <v>72</v>
      </c>
      <c r="B87" s="27">
        <f>75307.23+2096.4</f>
        <v>77403.62999999999</v>
      </c>
      <c r="C87" s="27">
        <f>10810.17+300.93</f>
        <v>11111.1</v>
      </c>
      <c r="D87" s="27">
        <f t="shared" si="2"/>
        <v>88514.73</v>
      </c>
      <c r="E87" s="7"/>
    </row>
    <row r="88" spans="1:10" ht="12.75">
      <c r="A88" s="26" t="s">
        <v>74</v>
      </c>
      <c r="B88" s="27">
        <f>70312.96+1957.37</f>
        <v>72270.33</v>
      </c>
      <c r="C88" s="27">
        <f>14694.34+409.07</f>
        <v>15103.41</v>
      </c>
      <c r="D88" s="27">
        <f t="shared" si="2"/>
        <v>87373.74</v>
      </c>
      <c r="E88" s="7" t="s">
        <v>32</v>
      </c>
      <c r="J88" s="2"/>
    </row>
    <row r="89" spans="1:5" ht="12.75">
      <c r="A89" s="26" t="s">
        <v>73</v>
      </c>
      <c r="B89" s="27">
        <v>0</v>
      </c>
      <c r="C89" s="27">
        <f>7702.82+214.44</f>
        <v>7917.259999999999</v>
      </c>
      <c r="D89" s="27">
        <f t="shared" si="2"/>
        <v>7917.259999999999</v>
      </c>
      <c r="E89" s="4"/>
    </row>
    <row r="90" spans="1:10" ht="12.75">
      <c r="A90" s="26"/>
      <c r="B90" s="27"/>
      <c r="C90" s="27"/>
      <c r="D90" s="27"/>
      <c r="E90" s="4"/>
      <c r="J90" s="2"/>
    </row>
    <row r="91" spans="1:5" ht="12.75">
      <c r="A91" s="29" t="s">
        <v>78</v>
      </c>
      <c r="B91" s="29"/>
      <c r="C91" s="30"/>
      <c r="D91" s="30"/>
      <c r="E91" s="3"/>
    </row>
    <row r="92" spans="1:5" ht="12.75">
      <c r="A92" s="31"/>
      <c r="B92" s="31"/>
      <c r="C92" s="31"/>
      <c r="D92" s="31"/>
      <c r="E92" s="3"/>
    </row>
    <row r="93" spans="1:5" ht="12.75">
      <c r="A93" s="26" t="s">
        <v>87</v>
      </c>
      <c r="B93" s="27">
        <f>101399.3+2822.75</f>
        <v>104222.05</v>
      </c>
      <c r="C93" s="27">
        <v>0</v>
      </c>
      <c r="D93" s="27">
        <f aca="true" t="shared" si="3" ref="D93:D102">SUM(B93:C93)</f>
        <v>104222.05</v>
      </c>
      <c r="E93" s="4"/>
    </row>
    <row r="94" spans="1:5" ht="12.75">
      <c r="A94" s="26" t="s">
        <v>15</v>
      </c>
      <c r="B94" s="27">
        <v>0</v>
      </c>
      <c r="C94" s="27">
        <f>163.5+245.23</f>
        <v>408.73</v>
      </c>
      <c r="D94" s="27">
        <f t="shared" si="3"/>
        <v>408.73</v>
      </c>
      <c r="E94" s="4"/>
    </row>
    <row r="95" spans="1:5" ht="12.75">
      <c r="A95" s="26" t="s">
        <v>82</v>
      </c>
      <c r="B95" s="27">
        <v>0</v>
      </c>
      <c r="C95" s="27">
        <f>440.67+12.26</f>
        <v>452.93</v>
      </c>
      <c r="D95" s="27">
        <f t="shared" si="3"/>
        <v>452.93</v>
      </c>
      <c r="E95" s="4"/>
    </row>
    <row r="96" spans="1:5" ht="12.75">
      <c r="A96" s="26" t="s">
        <v>31</v>
      </c>
      <c r="B96" s="27">
        <f>60200.96+8.79</f>
        <v>60209.75</v>
      </c>
      <c r="C96" s="27">
        <v>0</v>
      </c>
      <c r="D96" s="27">
        <f>SUM(B96:C96)</f>
        <v>60209.75</v>
      </c>
      <c r="E96" s="4"/>
    </row>
    <row r="97" spans="1:5" ht="12.75">
      <c r="A97" s="26" t="s">
        <v>36</v>
      </c>
      <c r="B97" s="27">
        <f>4367.08+121.57</f>
        <v>4488.65</v>
      </c>
      <c r="C97" s="27">
        <v>434.77</v>
      </c>
      <c r="D97" s="27">
        <f>SUM(B97:C97)</f>
        <v>4923.42</v>
      </c>
      <c r="E97" s="4"/>
    </row>
    <row r="98" spans="1:5" ht="12.75">
      <c r="A98" s="26" t="s">
        <v>37</v>
      </c>
      <c r="B98" s="27">
        <f>11791.11+328.24</f>
        <v>12119.35</v>
      </c>
      <c r="C98" s="27"/>
      <c r="D98" s="27">
        <f>SUM(B98:C98)</f>
        <v>12119.35</v>
      </c>
      <c r="E98" s="4"/>
    </row>
    <row r="99" spans="1:5" ht="12.75">
      <c r="A99" s="26" t="s">
        <v>48</v>
      </c>
      <c r="B99" s="27">
        <f>4454.42+124</f>
        <v>4578.42</v>
      </c>
      <c r="C99" s="27">
        <v>0</v>
      </c>
      <c r="D99" s="27">
        <f>SUM(B99:C99)</f>
        <v>4578.42</v>
      </c>
      <c r="E99" s="4"/>
    </row>
    <row r="100" spans="1:5" ht="12.75">
      <c r="A100" s="26" t="s">
        <v>74</v>
      </c>
      <c r="B100" s="27">
        <f>1746.83+48.63</f>
        <v>1795.46</v>
      </c>
      <c r="C100" s="27">
        <v>0</v>
      </c>
      <c r="D100" s="27">
        <f t="shared" si="3"/>
        <v>1795.46</v>
      </c>
      <c r="E100" s="4"/>
    </row>
    <row r="101" spans="1:5" ht="12.75">
      <c r="A101" s="26" t="s">
        <v>64</v>
      </c>
      <c r="B101" s="27">
        <v>0</v>
      </c>
      <c r="C101" s="27">
        <f>737.4+20.52</f>
        <v>757.92</v>
      </c>
      <c r="D101" s="27">
        <f t="shared" si="3"/>
        <v>757.92</v>
      </c>
      <c r="E101" s="4"/>
    </row>
    <row r="102" spans="1:5" ht="12.75">
      <c r="A102" s="26" t="s">
        <v>72</v>
      </c>
      <c r="B102" s="27">
        <v>0</v>
      </c>
      <c r="C102" s="27">
        <f>1105.55+30.78</f>
        <v>1136.33</v>
      </c>
      <c r="D102" s="27">
        <f t="shared" si="3"/>
        <v>1136.33</v>
      </c>
      <c r="E102" s="4"/>
    </row>
    <row r="103" spans="1:5" ht="6" customHeight="1">
      <c r="A103" s="26"/>
      <c r="B103" s="27"/>
      <c r="C103" s="27"/>
      <c r="D103" s="27"/>
      <c r="E103" s="4"/>
    </row>
    <row r="104" spans="1:5" ht="12.75">
      <c r="A104" s="14" t="s">
        <v>93</v>
      </c>
      <c r="B104" s="15"/>
      <c r="C104" s="15"/>
      <c r="D104" s="15"/>
      <c r="E104" s="16"/>
    </row>
    <row r="105" spans="1:5" ht="12.75">
      <c r="A105" s="17"/>
      <c r="B105" s="17"/>
      <c r="C105" s="17"/>
      <c r="D105" s="17"/>
      <c r="E105" s="17"/>
    </row>
    <row r="106" spans="1:5" ht="12.75">
      <c r="A106" s="19" t="s">
        <v>75</v>
      </c>
      <c r="B106" s="19"/>
      <c r="C106" s="19"/>
      <c r="D106" s="19"/>
      <c r="E106" s="23"/>
    </row>
    <row r="109" ht="12.75">
      <c r="D109" t="s">
        <v>32</v>
      </c>
    </row>
    <row r="112" spans="2:3" ht="12.75">
      <c r="B112" s="1"/>
      <c r="C112" s="1"/>
    </row>
    <row r="114" spans="2:3" ht="12.75">
      <c r="B114" s="2"/>
      <c r="C114" s="2"/>
    </row>
  </sheetData>
  <sheetProtection/>
  <mergeCells count="7">
    <mergeCell ref="A91:B91"/>
    <mergeCell ref="A1:D1"/>
    <mergeCell ref="A5:D5"/>
    <mergeCell ref="A6:D6"/>
    <mergeCell ref="A2:D2"/>
    <mergeCell ref="A3:D3"/>
    <mergeCell ref="A106:D106"/>
  </mergeCells>
  <printOptions horizontalCentered="1"/>
  <pageMargins left="0.75" right="0.75" top="0.5" bottom="0.75" header="0.3" footer="0.3"/>
  <pageSetup horizontalDpi="600" verticalDpi="600" orientation="portrait" r:id="rId1"/>
  <headerFooter alignWithMargins="0">
    <oddHeader>&amp;C
</oddHeader>
    <oddFooter>&amp;CPage &amp;P of &amp;N</oddFooter>
  </headerFooter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Ritchings, Melissa</cp:lastModifiedBy>
  <cp:lastPrinted>2014-12-05T14:02:09Z</cp:lastPrinted>
  <dcterms:created xsi:type="dcterms:W3CDTF">2007-12-12T16:42:49Z</dcterms:created>
  <dcterms:modified xsi:type="dcterms:W3CDTF">2014-12-05T14:02:23Z</dcterms:modified>
  <cp:category/>
  <cp:version/>
  <cp:contentType/>
  <cp:contentStatus/>
</cp:coreProperties>
</file>