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S:\Common\Comms\Kim Houghton\"/>
    </mc:Choice>
  </mc:AlternateContent>
  <xr:revisionPtr revIDLastSave="0" documentId="8_{6130141D-AA1C-4769-A150-064524E879FB}" xr6:coauthVersionLast="47" xr6:coauthVersionMax="47" xr10:uidLastSave="{00000000-0000-0000-0000-000000000000}"/>
  <bookViews>
    <workbookView xWindow="7095" yWindow="810" windowWidth="40260" windowHeight="13605" tabRatio="592" xr2:uid="{00000000-000D-0000-FFFF-FFFF00000000}"/>
  </bookViews>
  <sheets>
    <sheet name="Sheet1" sheetId="27" r:id="rId1"/>
    <sheet name="Consolidated FM11 - 10.10.22" sheetId="23" state="hidden" r:id="rId2"/>
    <sheet name="PAR's" sheetId="22" state="hidden" r:id="rId3"/>
    <sheet name="Form 11's Entry" sheetId="14" state="hidden" r:id="rId4"/>
    <sheet name="Prior Yr Expenses Entry" sheetId="26"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5" i="27" l="1"/>
  <c r="K4" i="27"/>
  <c r="J6" i="27" l="1"/>
  <c r="J40" i="27" s="1"/>
  <c r="I6" i="27"/>
  <c r="I40" i="27" s="1"/>
  <c r="H6" i="27"/>
  <c r="K29" i="27"/>
  <c r="K11" i="27"/>
  <c r="K13" i="27"/>
  <c r="K14" i="27"/>
  <c r="K18" i="27"/>
  <c r="K19" i="27"/>
  <c r="K35" i="27"/>
  <c r="K27" i="27"/>
  <c r="K10" i="27"/>
  <c r="K26" i="27"/>
  <c r="K16" i="27"/>
  <c r="K33" i="27"/>
  <c r="K34" i="27"/>
  <c r="K20" i="27"/>
  <c r="K36" i="27"/>
  <c r="K37" i="27"/>
  <c r="K38" i="27"/>
  <c r="K8" i="27"/>
  <c r="H25" i="27"/>
  <c r="K25" i="27" s="1"/>
  <c r="H21" i="27"/>
  <c r="K21" i="27" s="1"/>
  <c r="K31" i="27"/>
  <c r="H17" i="27"/>
  <c r="K17" i="27" s="1"/>
  <c r="H28" i="27"/>
  <c r="K28" i="27" s="1"/>
  <c r="H12" i="27"/>
  <c r="E23" i="27"/>
  <c r="E40" i="27" s="1"/>
  <c r="D32" i="27"/>
  <c r="K32" i="27" s="1"/>
  <c r="K30" i="27"/>
  <c r="F6" i="27" l="1"/>
  <c r="K6" i="27" s="1"/>
  <c r="H40" i="27"/>
  <c r="B15" i="27"/>
  <c r="K15" i="27" l="1"/>
  <c r="B40" i="27"/>
  <c r="K23" i="27"/>
  <c r="D12" i="27"/>
  <c r="K12" i="27" l="1"/>
  <c r="D40" i="27"/>
  <c r="K22" i="27"/>
  <c r="C40" i="27"/>
  <c r="G40" i="27"/>
  <c r="G3" i="27"/>
  <c r="F3" i="27"/>
  <c r="K3" i="27" s="1"/>
  <c r="Y115" i="23"/>
  <c r="Y114" i="23"/>
  <c r="K9" i="27" l="1"/>
  <c r="K40" i="27" s="1"/>
  <c r="W78" i="23"/>
  <c r="K78" i="23" l="1"/>
  <c r="H78" i="23"/>
  <c r="H42" i="23"/>
  <c r="H40" i="23"/>
  <c r="K45" i="23"/>
  <c r="H45" i="23"/>
  <c r="N118" i="23" l="1"/>
  <c r="K111" i="23"/>
  <c r="K61" i="23"/>
  <c r="P47" i="23" l="1"/>
  <c r="W116" i="23" l="1"/>
  <c r="W93" i="23" l="1"/>
  <c r="T52" i="23" l="1"/>
  <c r="O30" i="22"/>
  <c r="P30" i="22" s="1"/>
  <c r="O31" i="22"/>
  <c r="P31" i="22" s="1"/>
  <c r="N116" i="23" l="1"/>
  <c r="N78" i="23"/>
  <c r="Y78" i="23" l="1"/>
  <c r="Q78" i="23"/>
  <c r="W87" i="23" l="1"/>
  <c r="N119" i="23" l="1"/>
  <c r="K120" i="23"/>
  <c r="X32" i="23" l="1"/>
  <c r="Y104" i="23" l="1"/>
  <c r="O77" i="23" l="1"/>
  <c r="Y163" i="23" l="1"/>
  <c r="R32" i="23"/>
  <c r="V56" i="26" l="1"/>
  <c r="T56" i="26"/>
  <c r="R56" i="26"/>
  <c r="C57" i="26"/>
  <c r="L56" i="26"/>
  <c r="J56" i="26"/>
  <c r="I56" i="26"/>
  <c r="F57" i="26"/>
  <c r="F56" i="26"/>
  <c r="C56" i="26"/>
  <c r="O46" i="22" l="1"/>
  <c r="P46" i="22" s="1"/>
  <c r="O45" i="22"/>
  <c r="P45" i="22" s="1"/>
  <c r="O44" i="22"/>
  <c r="P44" i="22" s="1"/>
  <c r="O43" i="22"/>
  <c r="P43" i="22" s="1"/>
  <c r="O42" i="22"/>
  <c r="P42" i="22" s="1"/>
  <c r="O40" i="22"/>
  <c r="P40" i="22" s="1"/>
  <c r="O39" i="22"/>
  <c r="P39" i="22" s="1"/>
  <c r="O38" i="22"/>
  <c r="P38" i="22" s="1"/>
  <c r="O37" i="22"/>
  <c r="P37" i="22" s="1"/>
  <c r="O36" i="22"/>
  <c r="P36" i="22" s="1"/>
  <c r="O34" i="22"/>
  <c r="P34" i="22" s="1"/>
  <c r="O33" i="22"/>
  <c r="P33" i="22" s="1"/>
  <c r="O32" i="22"/>
  <c r="P32" i="22" s="1"/>
  <c r="O26" i="22"/>
  <c r="P26" i="22" s="1"/>
  <c r="O25" i="22"/>
  <c r="P25" i="22" s="1"/>
  <c r="O24" i="22"/>
  <c r="P24" i="22" s="1"/>
  <c r="O23" i="22"/>
  <c r="P23" i="22" s="1"/>
  <c r="O22" i="22"/>
  <c r="P22" i="22" s="1"/>
  <c r="O20" i="22"/>
  <c r="P20" i="22" s="1"/>
  <c r="O19" i="22"/>
  <c r="P19" i="22" s="1"/>
  <c r="O18" i="22"/>
  <c r="P18" i="22" s="1"/>
  <c r="O17" i="22"/>
  <c r="P17" i="22" s="1"/>
  <c r="O16" i="22"/>
  <c r="P16" i="22" s="1"/>
  <c r="O14" i="22"/>
  <c r="P14" i="22" s="1"/>
  <c r="O13" i="22"/>
  <c r="P13" i="22" s="1"/>
  <c r="O12" i="22"/>
  <c r="P12" i="22" s="1"/>
  <c r="O11" i="22"/>
  <c r="P11" i="22" s="1"/>
  <c r="O10" i="22"/>
  <c r="P10" i="22" s="1"/>
  <c r="O8" i="22"/>
  <c r="P8" i="22" s="1"/>
  <c r="O7" i="22"/>
  <c r="P7" i="22" s="1"/>
  <c r="O6" i="22"/>
  <c r="P6" i="22" s="1"/>
  <c r="O5" i="22"/>
  <c r="P5" i="22" s="1"/>
  <c r="O4" i="22"/>
  <c r="P4" i="22" s="1"/>
  <c r="W99" i="23"/>
  <c r="T97" i="23"/>
  <c r="W111" i="23"/>
  <c r="I51" i="14" l="1"/>
  <c r="H51" i="14"/>
  <c r="G51" i="14"/>
  <c r="K64" i="23" l="1"/>
  <c r="K121" i="23"/>
  <c r="K63" i="23" l="1"/>
  <c r="AA78" i="23" l="1"/>
  <c r="U112" i="23" l="1"/>
  <c r="V98" i="23"/>
  <c r="T98" i="23" s="1"/>
  <c r="I17" i="23" l="1"/>
  <c r="H149" i="23"/>
  <c r="T93" i="23" l="1"/>
  <c r="T74" i="23" l="1"/>
  <c r="O74" i="23" l="1"/>
  <c r="S15" i="23" l="1"/>
  <c r="S16" i="23"/>
  <c r="S17" i="23"/>
  <c r="S18" i="23"/>
  <c r="S19" i="23"/>
  <c r="S20" i="23"/>
  <c r="S21" i="23"/>
  <c r="S22" i="23"/>
  <c r="S23" i="23"/>
  <c r="S24" i="23"/>
  <c r="S25" i="23"/>
  <c r="S26" i="23"/>
  <c r="S27" i="23"/>
  <c r="S28" i="23"/>
  <c r="S29" i="23"/>
  <c r="S30" i="23"/>
  <c r="S31" i="23"/>
  <c r="S34" i="23"/>
  <c r="X34" i="23" l="1"/>
  <c r="Q34" i="23" l="1"/>
  <c r="P34" i="23"/>
  <c r="O34" i="23"/>
  <c r="N34" i="23"/>
  <c r="M34" i="23"/>
  <c r="L34" i="23"/>
  <c r="K34" i="23"/>
  <c r="Q31" i="23"/>
  <c r="P31" i="23"/>
  <c r="O31" i="23"/>
  <c r="N31" i="23"/>
  <c r="M31" i="23"/>
  <c r="L31" i="23"/>
  <c r="Q30" i="23"/>
  <c r="P30" i="23"/>
  <c r="O30" i="23"/>
  <c r="N30" i="23"/>
  <c r="M30" i="23"/>
  <c r="L30" i="23"/>
  <c r="Q29" i="23"/>
  <c r="P29" i="23"/>
  <c r="O29" i="23"/>
  <c r="N29" i="23"/>
  <c r="M29" i="23"/>
  <c r="L29" i="23"/>
  <c r="Q28" i="23"/>
  <c r="P28" i="23"/>
  <c r="O28" i="23"/>
  <c r="N28" i="23"/>
  <c r="M28" i="23"/>
  <c r="L28" i="23"/>
  <c r="Q27" i="23"/>
  <c r="P27" i="23"/>
  <c r="O27" i="23"/>
  <c r="N27" i="23"/>
  <c r="M27" i="23"/>
  <c r="L27" i="23"/>
  <c r="Q26" i="23"/>
  <c r="P26" i="23"/>
  <c r="O26" i="23"/>
  <c r="N26" i="23"/>
  <c r="M26" i="23"/>
  <c r="L26" i="23"/>
  <c r="Q25" i="23"/>
  <c r="P25" i="23"/>
  <c r="O25" i="23"/>
  <c r="N25" i="23"/>
  <c r="M25" i="23"/>
  <c r="L25" i="23"/>
  <c r="Q24" i="23"/>
  <c r="P24" i="23"/>
  <c r="O24" i="23"/>
  <c r="N24" i="23"/>
  <c r="M24" i="23"/>
  <c r="L24" i="23"/>
  <c r="Q23" i="23"/>
  <c r="P23" i="23"/>
  <c r="O23" i="23"/>
  <c r="N23" i="23"/>
  <c r="M23" i="23"/>
  <c r="L23" i="23"/>
  <c r="Q22" i="23"/>
  <c r="P22" i="23"/>
  <c r="O22" i="23"/>
  <c r="N22" i="23"/>
  <c r="M22" i="23"/>
  <c r="L22" i="23"/>
  <c r="Q21" i="23"/>
  <c r="P21" i="23"/>
  <c r="O21" i="23"/>
  <c r="N21" i="23"/>
  <c r="M21" i="23"/>
  <c r="L21" i="23"/>
  <c r="Q20" i="23"/>
  <c r="P20" i="23"/>
  <c r="O20" i="23"/>
  <c r="N20" i="23"/>
  <c r="M20" i="23"/>
  <c r="L20" i="23"/>
  <c r="Q19" i="23"/>
  <c r="P19" i="23"/>
  <c r="O19" i="23"/>
  <c r="N19" i="23"/>
  <c r="M19" i="23"/>
  <c r="L19" i="23"/>
  <c r="Q18" i="23"/>
  <c r="P18" i="23"/>
  <c r="O18" i="23"/>
  <c r="N18" i="23"/>
  <c r="M18" i="23"/>
  <c r="L18" i="23"/>
  <c r="Q17" i="23"/>
  <c r="P17" i="23"/>
  <c r="O17" i="23"/>
  <c r="N17" i="23"/>
  <c r="M17" i="23"/>
  <c r="L17" i="23"/>
  <c r="Q16" i="23"/>
  <c r="P16" i="23"/>
  <c r="O16" i="23"/>
  <c r="N16" i="23"/>
  <c r="M16" i="23"/>
  <c r="L16" i="23"/>
  <c r="Q15" i="23"/>
  <c r="P15" i="23"/>
  <c r="O15" i="23"/>
  <c r="N15" i="23"/>
  <c r="M15" i="23"/>
  <c r="L15" i="23"/>
  <c r="I15" i="23" l="1"/>
  <c r="J15" i="23"/>
  <c r="K15" i="23"/>
  <c r="I16" i="23"/>
  <c r="J16" i="23"/>
  <c r="K16" i="23"/>
  <c r="J17" i="23"/>
  <c r="K17" i="23"/>
  <c r="I18" i="23"/>
  <c r="J18" i="23"/>
  <c r="K18" i="23"/>
  <c r="I19" i="23"/>
  <c r="J19" i="23"/>
  <c r="K19" i="23"/>
  <c r="I20" i="23"/>
  <c r="J20" i="23"/>
  <c r="K20" i="23"/>
  <c r="I21" i="23"/>
  <c r="J21" i="23"/>
  <c r="K21" i="23"/>
  <c r="I22" i="23"/>
  <c r="J22" i="23"/>
  <c r="K22" i="23"/>
  <c r="I23" i="23"/>
  <c r="K23" i="23"/>
  <c r="I24" i="23"/>
  <c r="J24" i="23"/>
  <c r="K24" i="23"/>
  <c r="I25" i="23"/>
  <c r="J25" i="23"/>
  <c r="K25" i="23"/>
  <c r="I26" i="23"/>
  <c r="J26" i="23"/>
  <c r="K26" i="23"/>
  <c r="I27" i="23"/>
  <c r="J27" i="23"/>
  <c r="K27" i="23"/>
  <c r="I28" i="23"/>
  <c r="J28" i="23"/>
  <c r="K28" i="23"/>
  <c r="I29" i="23"/>
  <c r="J29" i="23"/>
  <c r="K29" i="23"/>
  <c r="I30" i="23"/>
  <c r="J30" i="23"/>
  <c r="K30" i="23"/>
  <c r="I31" i="23"/>
  <c r="J31" i="23"/>
  <c r="K31" i="23"/>
  <c r="I34" i="23"/>
  <c r="J34" i="23"/>
  <c r="T91" i="23" l="1"/>
  <c r="W90" i="23" l="1"/>
  <c r="T163" i="23" l="1"/>
  <c r="U163" i="23"/>
  <c r="U158" i="23"/>
  <c r="T158" i="23"/>
  <c r="N51" i="23" l="1"/>
  <c r="N86" i="23" l="1"/>
  <c r="R163" i="23" l="1"/>
  <c r="R158" i="23"/>
  <c r="N46" i="23" l="1"/>
  <c r="N135" i="23" l="1"/>
  <c r="N149" i="23" s="1"/>
  <c r="M158" i="23" l="1"/>
  <c r="T86" i="23"/>
  <c r="T149" i="23" s="1"/>
  <c r="J23" i="23"/>
  <c r="D51" i="14"/>
  <c r="E51" i="14"/>
  <c r="F51" i="14"/>
  <c r="AA34" i="23"/>
  <c r="AA32" i="23"/>
  <c r="AA31" i="23"/>
  <c r="AA30" i="23"/>
  <c r="AA29" i="23"/>
  <c r="AA28" i="23"/>
  <c r="AA27" i="23"/>
  <c r="AA26" i="23"/>
  <c r="AA25" i="23"/>
  <c r="AA24" i="23"/>
  <c r="AA23" i="23"/>
  <c r="AA22" i="23"/>
  <c r="AA21" i="23"/>
  <c r="AA20" i="23"/>
  <c r="AA19" i="23"/>
  <c r="AA18" i="23"/>
  <c r="AA17" i="23"/>
  <c r="AA16" i="23"/>
  <c r="AA15" i="23"/>
  <c r="Z34" i="23"/>
  <c r="Z31" i="23"/>
  <c r="Z30" i="23"/>
  <c r="Z29" i="23"/>
  <c r="Z28" i="23"/>
  <c r="Z27" i="23"/>
  <c r="Z26" i="23"/>
  <c r="Z25" i="23"/>
  <c r="Z24" i="23"/>
  <c r="Z23" i="23"/>
  <c r="Z22" i="23"/>
  <c r="Z21" i="23"/>
  <c r="Z20" i="23"/>
  <c r="Z19" i="23"/>
  <c r="Z18" i="23"/>
  <c r="Z17" i="23"/>
  <c r="Z16" i="23"/>
  <c r="Z15" i="23"/>
  <c r="V51" i="26"/>
  <c r="U51" i="26"/>
  <c r="U51" i="14"/>
  <c r="V51" i="14"/>
  <c r="AA149" i="23"/>
  <c r="AA35" i="23" s="1"/>
  <c r="AA170" i="23" s="1"/>
  <c r="Z149" i="23"/>
  <c r="Z35" i="23" s="1"/>
  <c r="Z170" i="23" s="1"/>
  <c r="AA74" i="23"/>
  <c r="AA33" i="23" s="1"/>
  <c r="Z74" i="23"/>
  <c r="Z33" i="23" s="1"/>
  <c r="Z169" i="23" s="1"/>
  <c r="N74" i="23"/>
  <c r="M164" i="23"/>
  <c r="M165" i="23" s="1"/>
  <c r="Y149" i="23"/>
  <c r="W149" i="23"/>
  <c r="W35" i="23" s="1"/>
  <c r="O135" i="23"/>
  <c r="M74" i="23"/>
  <c r="M33" i="23" s="1"/>
  <c r="M169" i="23" s="1"/>
  <c r="L74" i="23"/>
  <c r="L33" i="23" s="1"/>
  <c r="L169" i="23" s="1"/>
  <c r="Q74" i="23"/>
  <c r="Q33" i="23" s="1"/>
  <c r="Q169" i="23" s="1"/>
  <c r="P74" i="23"/>
  <c r="P33" i="23" s="1"/>
  <c r="P169" i="23" s="1"/>
  <c r="O33" i="23"/>
  <c r="J74" i="23"/>
  <c r="J33" i="23" s="1"/>
  <c r="I74" i="23"/>
  <c r="I33" i="23" s="1"/>
  <c r="Y74" i="23"/>
  <c r="Y33" i="23" s="1"/>
  <c r="Y169" i="23" s="1"/>
  <c r="X74" i="23"/>
  <c r="X33" i="23" s="1"/>
  <c r="W74" i="23"/>
  <c r="W33" i="23" s="1"/>
  <c r="V74" i="23"/>
  <c r="V33" i="23" s="1"/>
  <c r="U74" i="23"/>
  <c r="U33" i="23" s="1"/>
  <c r="T33" i="23"/>
  <c r="T159" i="23" s="1"/>
  <c r="T160" i="23" s="1"/>
  <c r="S74" i="23"/>
  <c r="R74" i="23"/>
  <c r="R33" i="23" s="1"/>
  <c r="O78" i="23"/>
  <c r="Y34" i="23"/>
  <c r="Y30" i="23"/>
  <c r="X30" i="23"/>
  <c r="W30" i="23"/>
  <c r="V30" i="23"/>
  <c r="U30" i="23"/>
  <c r="T30" i="23"/>
  <c r="R30" i="23"/>
  <c r="H30" i="23"/>
  <c r="J163" i="23"/>
  <c r="J158" i="23"/>
  <c r="X16" i="23"/>
  <c r="Y16" i="23"/>
  <c r="X17" i="23"/>
  <c r="Y17" i="23"/>
  <c r="X18" i="23"/>
  <c r="Y18" i="23"/>
  <c r="X19" i="23"/>
  <c r="Y19" i="23"/>
  <c r="X20" i="23"/>
  <c r="Y20" i="23"/>
  <c r="X21" i="23"/>
  <c r="Y21" i="23"/>
  <c r="X22" i="23"/>
  <c r="Y22" i="23"/>
  <c r="X23" i="23"/>
  <c r="Y23" i="23"/>
  <c r="X24" i="23"/>
  <c r="Y24" i="23"/>
  <c r="X25" i="23"/>
  <c r="Y25" i="23"/>
  <c r="X26" i="23"/>
  <c r="Y26" i="23"/>
  <c r="X27" i="23"/>
  <c r="Y27" i="23"/>
  <c r="X28" i="23"/>
  <c r="Y28" i="23"/>
  <c r="X29" i="23"/>
  <c r="Y29" i="23"/>
  <c r="X31" i="23"/>
  <c r="Y31" i="23"/>
  <c r="Y15" i="23"/>
  <c r="T51" i="14"/>
  <c r="S51" i="14"/>
  <c r="X15" i="23"/>
  <c r="T51" i="26"/>
  <c r="S51" i="26"/>
  <c r="T57" i="26" s="1"/>
  <c r="X149" i="23"/>
  <c r="X35" i="23" s="1"/>
  <c r="X170" i="23" s="1"/>
  <c r="R16" i="23"/>
  <c r="T16" i="23"/>
  <c r="U16" i="23"/>
  <c r="V16" i="23"/>
  <c r="W16" i="23"/>
  <c r="R17" i="23"/>
  <c r="T17" i="23"/>
  <c r="U17" i="23"/>
  <c r="V17" i="23"/>
  <c r="W17" i="23"/>
  <c r="R18" i="23"/>
  <c r="T18" i="23"/>
  <c r="U18" i="23"/>
  <c r="V18" i="23"/>
  <c r="W18" i="23"/>
  <c r="R19" i="23"/>
  <c r="T19" i="23"/>
  <c r="U19" i="23"/>
  <c r="V19" i="23"/>
  <c r="W19" i="23"/>
  <c r="R20" i="23"/>
  <c r="T20" i="23"/>
  <c r="U20" i="23"/>
  <c r="V20" i="23"/>
  <c r="W20" i="23"/>
  <c r="R21" i="23"/>
  <c r="T21" i="23"/>
  <c r="U21" i="23"/>
  <c r="V21" i="23"/>
  <c r="W21" i="23"/>
  <c r="R22" i="23"/>
  <c r="T22" i="23"/>
  <c r="U22" i="23"/>
  <c r="V22" i="23"/>
  <c r="W22" i="23"/>
  <c r="R23" i="23"/>
  <c r="T23" i="23"/>
  <c r="U23" i="23"/>
  <c r="V23" i="23"/>
  <c r="W23" i="23"/>
  <c r="R24" i="23"/>
  <c r="T24" i="23"/>
  <c r="U24" i="23"/>
  <c r="V24" i="23"/>
  <c r="W24" i="23"/>
  <c r="R25" i="23"/>
  <c r="T25" i="23"/>
  <c r="U25" i="23"/>
  <c r="V25" i="23"/>
  <c r="W25" i="23"/>
  <c r="R26" i="23"/>
  <c r="T26" i="23"/>
  <c r="U26" i="23"/>
  <c r="V26" i="23"/>
  <c r="W26" i="23"/>
  <c r="R27" i="23"/>
  <c r="T27" i="23"/>
  <c r="U27" i="23"/>
  <c r="V27" i="23"/>
  <c r="W27" i="23"/>
  <c r="R28" i="23"/>
  <c r="T28" i="23"/>
  <c r="U28" i="23"/>
  <c r="V28" i="23"/>
  <c r="W28" i="23"/>
  <c r="R29" i="23"/>
  <c r="T29" i="23"/>
  <c r="U29" i="23"/>
  <c r="V29" i="23"/>
  <c r="W29" i="23"/>
  <c r="R31" i="23"/>
  <c r="T31" i="23"/>
  <c r="U31" i="23"/>
  <c r="V31" i="23"/>
  <c r="W31" i="23"/>
  <c r="W15" i="23"/>
  <c r="V15" i="23"/>
  <c r="U15" i="23"/>
  <c r="T15" i="23"/>
  <c r="R15" i="23"/>
  <c r="H15" i="23"/>
  <c r="H158" i="23"/>
  <c r="H34" i="23"/>
  <c r="H29" i="23"/>
  <c r="H31" i="23"/>
  <c r="H16" i="23"/>
  <c r="H17" i="23"/>
  <c r="H18" i="23"/>
  <c r="H19" i="23"/>
  <c r="H20" i="23"/>
  <c r="H21" i="23"/>
  <c r="H22" i="23"/>
  <c r="H23" i="23"/>
  <c r="H24" i="23"/>
  <c r="H25" i="23"/>
  <c r="H26" i="23"/>
  <c r="H27" i="23"/>
  <c r="H28" i="23"/>
  <c r="R51" i="26"/>
  <c r="Q51" i="26"/>
  <c r="P51" i="26"/>
  <c r="O51" i="26"/>
  <c r="N51" i="26"/>
  <c r="M51" i="26"/>
  <c r="I51" i="26"/>
  <c r="H51" i="26"/>
  <c r="G51" i="26"/>
  <c r="I57" i="26" s="1"/>
  <c r="L51" i="26"/>
  <c r="K51" i="26"/>
  <c r="L57" i="26" s="1"/>
  <c r="J51" i="26"/>
  <c r="J57" i="26" s="1"/>
  <c r="F51" i="26"/>
  <c r="E51" i="26"/>
  <c r="D51" i="26"/>
  <c r="C51" i="26"/>
  <c r="V149" i="23"/>
  <c r="U149" i="23"/>
  <c r="U35" i="23" s="1"/>
  <c r="S149" i="23"/>
  <c r="S35" i="23" s="1"/>
  <c r="R149" i="23"/>
  <c r="M149" i="23"/>
  <c r="M35" i="23" s="1"/>
  <c r="L149" i="23"/>
  <c r="Q149" i="23"/>
  <c r="Q35" i="23" s="1"/>
  <c r="Q170" i="23" s="1"/>
  <c r="P149" i="23"/>
  <c r="P35" i="23" s="1"/>
  <c r="J149" i="23"/>
  <c r="I149" i="23"/>
  <c r="H35" i="23"/>
  <c r="K117" i="23"/>
  <c r="K131" i="23"/>
  <c r="K129" i="23"/>
  <c r="K74" i="23"/>
  <c r="H74" i="23"/>
  <c r="W34" i="23"/>
  <c r="V34" i="23"/>
  <c r="U34" i="23"/>
  <c r="T34" i="23"/>
  <c r="R34" i="23"/>
  <c r="R51" i="14"/>
  <c r="Q51" i="14"/>
  <c r="P51" i="14"/>
  <c r="O51" i="14"/>
  <c r="N51" i="14"/>
  <c r="M51" i="14"/>
  <c r="L51" i="14"/>
  <c r="K51" i="14"/>
  <c r="J51" i="14"/>
  <c r="C51" i="14"/>
  <c r="V57" i="26" l="1"/>
  <c r="R57" i="26"/>
  <c r="Q164" i="23"/>
  <c r="Q165" i="23" s="1"/>
  <c r="Q167" i="23" s="1"/>
  <c r="P170" i="23"/>
  <c r="S33" i="23"/>
  <c r="S37" i="23" s="1"/>
  <c r="S151" i="23"/>
  <c r="Z151" i="23"/>
  <c r="I35" i="23"/>
  <c r="I170" i="23" s="1"/>
  <c r="J35" i="23"/>
  <c r="J37" i="23" s="1"/>
  <c r="J11" i="23" s="1"/>
  <c r="J12" i="23" s="1"/>
  <c r="S170" i="23"/>
  <c r="K33" i="23"/>
  <c r="AA151" i="23"/>
  <c r="W169" i="23"/>
  <c r="W159" i="23"/>
  <c r="W160" i="23" s="1"/>
  <c r="V169" i="23"/>
  <c r="V159" i="23"/>
  <c r="V160" i="23" s="1"/>
  <c r="U169" i="23"/>
  <c r="U159" i="23"/>
  <c r="U160" i="23" s="1"/>
  <c r="U170" i="23"/>
  <c r="U164" i="23"/>
  <c r="U165" i="23" s="1"/>
  <c r="W170" i="23"/>
  <c r="W164" i="23"/>
  <c r="W165" i="23" s="1"/>
  <c r="S159" i="23"/>
  <c r="S160" i="23" s="1"/>
  <c r="O149" i="23"/>
  <c r="V151" i="23"/>
  <c r="J151" i="23"/>
  <c r="AA169" i="23"/>
  <c r="Q151" i="23"/>
  <c r="X169" i="23"/>
  <c r="V35" i="23"/>
  <c r="L151" i="23"/>
  <c r="AA37" i="23"/>
  <c r="AA11" i="23" s="1"/>
  <c r="AA12" i="23" s="1"/>
  <c r="R169" i="23"/>
  <c r="R151" i="23"/>
  <c r="I151" i="23"/>
  <c r="M151" i="23"/>
  <c r="AA159" i="23"/>
  <c r="AA160" i="23" s="1"/>
  <c r="N35" i="23"/>
  <c r="M170" i="23" s="1"/>
  <c r="Y151" i="23"/>
  <c r="X37" i="23"/>
  <c r="X11" i="23" s="1"/>
  <c r="X12" i="23" s="1"/>
  <c r="U151" i="23"/>
  <c r="T151" i="23"/>
  <c r="AA164" i="23"/>
  <c r="AA165" i="23" s="1"/>
  <c r="Z37" i="23"/>
  <c r="Z11" i="23" s="1"/>
  <c r="Z12" i="23" s="1"/>
  <c r="X151" i="23"/>
  <c r="Y159" i="23"/>
  <c r="Y160" i="23" s="1"/>
  <c r="Q159" i="23"/>
  <c r="Q160" i="23" s="1"/>
  <c r="T35" i="23"/>
  <c r="W151" i="23"/>
  <c r="Y35" i="23"/>
  <c r="Y170" i="23" s="1"/>
  <c r="Q37" i="23"/>
  <c r="Q11" i="23" s="1"/>
  <c r="Q12" i="23" s="1"/>
  <c r="I169" i="23"/>
  <c r="K149" i="23"/>
  <c r="R35" i="23"/>
  <c r="S164" i="23" s="1"/>
  <c r="S165" i="23" s="1"/>
  <c r="M37" i="23"/>
  <c r="M11" i="23" s="1"/>
  <c r="M12" i="23" s="1"/>
  <c r="H164" i="23"/>
  <c r="H165" i="23" s="1"/>
  <c r="H170" i="23"/>
  <c r="N33" i="23"/>
  <c r="N151" i="23"/>
  <c r="H33" i="23"/>
  <c r="H151" i="23"/>
  <c r="T169" i="23"/>
  <c r="J169" i="23"/>
  <c r="P37" i="23"/>
  <c r="P11" i="23" s="1"/>
  <c r="P12" i="23" s="1"/>
  <c r="O159" i="23"/>
  <c r="O160" i="23" s="1"/>
  <c r="O169" i="23"/>
  <c r="L35" i="23"/>
  <c r="L170" i="23" s="1"/>
  <c r="W37" i="23"/>
  <c r="W11" i="23" s="1"/>
  <c r="W12" i="23" s="1"/>
  <c r="U37" i="23"/>
  <c r="U11" i="23" s="1"/>
  <c r="U12" i="23" s="1"/>
  <c r="P151" i="23"/>
  <c r="R159" i="23" l="1"/>
  <c r="R160" i="23" s="1"/>
  <c r="S169" i="23"/>
  <c r="K35" i="23"/>
  <c r="K170" i="23" s="1"/>
  <c r="J170" i="23"/>
  <c r="S11" i="23"/>
  <c r="S12" i="23" s="1"/>
  <c r="I37" i="23"/>
  <c r="I11" i="23" s="1"/>
  <c r="I12" i="23" s="1"/>
  <c r="O35" i="23"/>
  <c r="O37" i="23" s="1"/>
  <c r="O11" i="23" s="1"/>
  <c r="O12" i="23" s="1"/>
  <c r="K37" i="23"/>
  <c r="K11" i="23" s="1"/>
  <c r="K12" i="23" s="1"/>
  <c r="K169" i="23"/>
  <c r="T170" i="23"/>
  <c r="T164" i="23"/>
  <c r="T165" i="23" s="1"/>
  <c r="V170" i="23"/>
  <c r="V164" i="23"/>
  <c r="V165" i="23" s="1"/>
  <c r="O151" i="23"/>
  <c r="V37" i="23"/>
  <c r="V11" i="23" s="1"/>
  <c r="V12" i="23" s="1"/>
  <c r="T37" i="23"/>
  <c r="T11" i="23" s="1"/>
  <c r="T12" i="23" s="1"/>
  <c r="R164" i="23"/>
  <c r="R165" i="23" s="1"/>
  <c r="N37" i="23"/>
  <c r="N11" i="23" s="1"/>
  <c r="N12" i="23" s="1"/>
  <c r="R170" i="23"/>
  <c r="R37" i="23"/>
  <c r="R11" i="23" s="1"/>
  <c r="R12" i="23" s="1"/>
  <c r="K151" i="23"/>
  <c r="J159" i="23"/>
  <c r="J160" i="23" s="1"/>
  <c r="Y37" i="23"/>
  <c r="Y11" i="23" s="1"/>
  <c r="Y12" i="23" s="1"/>
  <c r="Y164" i="23"/>
  <c r="Y165" i="23" s="1"/>
  <c r="L37" i="23"/>
  <c r="L11" i="23" s="1"/>
  <c r="L12" i="23" s="1"/>
  <c r="H159" i="23"/>
  <c r="H160" i="23" s="1"/>
  <c r="H169" i="23"/>
  <c r="M159" i="23"/>
  <c r="M160" i="23" s="1"/>
  <c r="H37" i="23"/>
  <c r="H11" i="23" s="1"/>
  <c r="H12" i="23" s="1"/>
  <c r="J164" i="23" l="1"/>
  <c r="J165" i="23" s="1"/>
  <c r="O164" i="23"/>
  <c r="O165" i="23" s="1"/>
  <c r="O17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DuBois, Pauline</author>
    <author>Vaillancourt, Whitney</author>
  </authors>
  <commentList>
    <comment ref="Z7" authorId="0" shapeId="0" xr:uid="{00000000-0006-0000-0000-000001000000}">
      <text>
        <r>
          <rPr>
            <b/>
            <sz val="9"/>
            <color indexed="81"/>
            <rFont val="Tahoma"/>
            <family val="2"/>
          </rPr>
          <t>DuBois, Pauline:</t>
        </r>
        <r>
          <rPr>
            <sz val="9"/>
            <color indexed="81"/>
            <rFont val="Tahoma"/>
            <family val="2"/>
          </rPr>
          <t xml:space="preserve">
GAN - Page 4 = (3) Under the Tydings Amendment, section 421(b) of the General Education Provisions Act (20 U.S.C 1225(b)), any
funds that are not obligated at the end of the Federal funding period specified in Block 6 shall remain available for
obligation for an additional period of 12 months, subject to and consistent with the provision in section 312(d)(6) of
the CRRSA Act.</t>
        </r>
      </text>
    </comment>
    <comment ref="B45" authorId="1" shapeId="0" xr:uid="{00000000-0006-0000-0000-000002000000}">
      <text>
        <r>
          <rPr>
            <sz val="9"/>
            <color indexed="81"/>
            <rFont val="Tahoma"/>
            <family val="2"/>
          </rPr>
          <t>Overview:
1 year staffing
3 years staffing costs</t>
        </r>
      </text>
    </comment>
    <comment ref="N69" authorId="0" shapeId="0" xr:uid="{00000000-0006-0000-0000-000004000000}">
      <text>
        <r>
          <rPr>
            <b/>
            <sz val="9"/>
            <color indexed="81"/>
            <rFont val="Tahoma"/>
            <family val="2"/>
          </rPr>
          <t>DuBois, Pauline:</t>
        </r>
        <r>
          <rPr>
            <sz val="9"/>
            <color indexed="81"/>
            <rFont val="Tahoma"/>
            <family val="2"/>
          </rPr>
          <t xml:space="preserve">
Removed Per McKenzie 11/9/2021
</t>
        </r>
      </text>
    </comment>
    <comment ref="O70" authorId="0" shapeId="0" xr:uid="{00000000-0006-0000-0000-000005000000}">
      <text>
        <r>
          <rPr>
            <b/>
            <sz val="9"/>
            <color indexed="81"/>
            <rFont val="Tahoma"/>
            <family val="2"/>
          </rPr>
          <t>DuBois, Pauline:</t>
        </r>
        <r>
          <rPr>
            <sz val="9"/>
            <color indexed="81"/>
            <rFont val="Tahoma"/>
            <family val="2"/>
          </rPr>
          <t xml:space="preserve">
Removed per McKenzie 9/23/2021 - Project is an idea and not being moved forward at this time
$100,000</t>
        </r>
      </text>
    </comment>
    <comment ref="O71" authorId="0" shapeId="0" xr:uid="{00000000-0006-0000-0000-000006000000}">
      <text>
        <r>
          <rPr>
            <b/>
            <sz val="9"/>
            <color indexed="81"/>
            <rFont val="Tahoma"/>
            <family val="2"/>
          </rPr>
          <t>DuBois, Pauline:</t>
        </r>
        <r>
          <rPr>
            <sz val="9"/>
            <color indexed="81"/>
            <rFont val="Tahoma"/>
            <family val="2"/>
          </rPr>
          <t xml:space="preserve">
Removed per McKenzie 9/23/2021 - Project is an idea and not being moved forward at this time
$900,000</t>
        </r>
      </text>
    </comment>
    <comment ref="K110" authorId="0" shapeId="0" xr:uid="{00000000-0006-0000-0000-000008000000}">
      <text>
        <r>
          <rPr>
            <b/>
            <sz val="9"/>
            <color indexed="81"/>
            <rFont val="Tahoma"/>
            <family val="2"/>
          </rPr>
          <t>DuBois, Pauline:</t>
        </r>
        <r>
          <rPr>
            <sz val="9"/>
            <color indexed="81"/>
            <rFont val="Tahoma"/>
            <family val="2"/>
          </rPr>
          <t xml:space="preserve">
4-13-22 Approved PR for $10,600</t>
        </r>
      </text>
    </comment>
    <comment ref="K111" authorId="0" shapeId="0" xr:uid="{AC6B4E42-6282-455A-BD5C-1BAB4C474375}">
      <text>
        <r>
          <rPr>
            <b/>
            <sz val="9"/>
            <color indexed="81"/>
            <rFont val="Tahoma"/>
            <family val="2"/>
          </rPr>
          <t>DuBois, Pauline:</t>
        </r>
        <r>
          <rPr>
            <sz val="9"/>
            <color indexed="81"/>
            <rFont val="Tahoma"/>
            <family val="2"/>
          </rPr>
          <t xml:space="preserve">
4-13-22 Approved PR for $10,600</t>
        </r>
      </text>
    </comment>
    <comment ref="N135" authorId="0" shapeId="0" xr:uid="{00000000-0006-0000-0000-000009000000}">
      <text>
        <r>
          <rPr>
            <b/>
            <sz val="9"/>
            <color indexed="81"/>
            <rFont val="Tahoma"/>
            <family val="2"/>
          </rPr>
          <t>DuBois, Pauline:</t>
        </r>
        <r>
          <rPr>
            <sz val="9"/>
            <color indexed="81"/>
            <rFont val="Tahoma"/>
            <family val="2"/>
          </rPr>
          <t xml:space="preserve">
Work not being completed made funds available per email 11/15/2021</t>
        </r>
      </text>
    </comment>
    <comment ref="T137" authorId="0" shapeId="0" xr:uid="{B5C91F60-A484-40F0-ABB5-347D7FE8D971}">
      <text>
        <r>
          <rPr>
            <b/>
            <sz val="9"/>
            <color indexed="81"/>
            <rFont val="Tahoma"/>
            <family val="2"/>
          </rPr>
          <t>DuBois, Pauline:</t>
        </r>
        <r>
          <rPr>
            <sz val="9"/>
            <color indexed="81"/>
            <rFont val="Tahoma"/>
            <family val="2"/>
          </rPr>
          <t xml:space="preserve">
This was for $800,000 not approved by G&amp;C - Contract Withdrawn
</t>
        </r>
      </text>
    </comment>
    <comment ref="N139" authorId="0" shapeId="0" xr:uid="{00000000-0006-0000-0000-00000A000000}">
      <text>
        <r>
          <rPr>
            <b/>
            <sz val="9"/>
            <color indexed="81"/>
            <rFont val="Tahoma"/>
            <family val="2"/>
          </rPr>
          <t>DuBois, Pauline:</t>
        </r>
        <r>
          <rPr>
            <sz val="9"/>
            <color indexed="81"/>
            <rFont val="Tahoma"/>
            <family val="2"/>
          </rPr>
          <t xml:space="preserve">
Removed per McKenzie 9/23/2021 - Project is Tentative and not being moved forward at this time $50,000</t>
        </r>
      </text>
    </comment>
    <comment ref="N140" authorId="0" shapeId="0" xr:uid="{00000000-0006-0000-0000-00000B000000}">
      <text>
        <r>
          <rPr>
            <b/>
            <sz val="9"/>
            <color indexed="81"/>
            <rFont val="Tahoma"/>
            <family val="2"/>
          </rPr>
          <t>DuBois, Pauline:</t>
        </r>
        <r>
          <rPr>
            <sz val="9"/>
            <color indexed="81"/>
            <rFont val="Tahoma"/>
            <family val="2"/>
          </rPr>
          <t xml:space="preserve">
Removed per McKenzie 9/23/2021 - Project is an idea and not being moved forward at this time
$1,000,000</t>
        </r>
      </text>
    </comment>
    <comment ref="N141" authorId="0" shapeId="0" xr:uid="{00000000-0006-0000-0000-00000C000000}">
      <text>
        <r>
          <rPr>
            <b/>
            <sz val="9"/>
            <color indexed="81"/>
            <rFont val="Tahoma"/>
            <family val="2"/>
          </rPr>
          <t>DuBois, Pauline:</t>
        </r>
        <r>
          <rPr>
            <sz val="9"/>
            <color indexed="81"/>
            <rFont val="Tahoma"/>
            <family val="2"/>
          </rPr>
          <t xml:space="preserve">
Removed per McKenzie 9/23/2021 - Project is Tentative and not being moved forward at this time $150,000</t>
        </r>
      </text>
    </comment>
    <comment ref="N142" authorId="0" shapeId="0" xr:uid="{00000000-0006-0000-0000-00000D000000}">
      <text>
        <r>
          <rPr>
            <b/>
            <sz val="9"/>
            <color indexed="81"/>
            <rFont val="Tahoma"/>
            <family val="2"/>
          </rPr>
          <t>DuBois, Pauline:</t>
        </r>
        <r>
          <rPr>
            <sz val="9"/>
            <color indexed="81"/>
            <rFont val="Tahoma"/>
            <family val="2"/>
          </rPr>
          <t xml:space="preserve">
Removed Per McKenzie 11/9/2021</t>
        </r>
      </text>
    </comment>
    <comment ref="O143" authorId="0" shapeId="0" xr:uid="{00000000-0006-0000-0000-00000E000000}">
      <text>
        <r>
          <rPr>
            <b/>
            <sz val="9"/>
            <color indexed="81"/>
            <rFont val="Tahoma"/>
            <family val="2"/>
          </rPr>
          <t>DuBois, Pauline:</t>
        </r>
        <r>
          <rPr>
            <sz val="9"/>
            <color indexed="81"/>
            <rFont val="Tahoma"/>
            <family val="2"/>
          </rPr>
          <t xml:space="preserve">
Removed per McKenzie 9/23/2021 - Project is an idea and not being moved forward at this time
$500,000</t>
        </r>
      </text>
    </comment>
    <comment ref="O144" authorId="0" shapeId="0" xr:uid="{00000000-0006-0000-0000-00000F000000}">
      <text>
        <r>
          <rPr>
            <b/>
            <sz val="9"/>
            <color indexed="81"/>
            <rFont val="Tahoma"/>
            <family val="2"/>
          </rPr>
          <t>DuBois, Pauline:</t>
        </r>
        <r>
          <rPr>
            <sz val="9"/>
            <color indexed="81"/>
            <rFont val="Tahoma"/>
            <family val="2"/>
          </rPr>
          <t xml:space="preserve">
Removed per McKenzie 9/23/2021 - Project is an idea and not being moved forward at this time
$100,000</t>
        </r>
      </text>
    </comment>
    <comment ref="O145" authorId="0" shapeId="0" xr:uid="{00000000-0006-0000-0000-000010000000}">
      <text>
        <r>
          <rPr>
            <b/>
            <sz val="9"/>
            <color indexed="81"/>
            <rFont val="Tahoma"/>
            <family val="2"/>
          </rPr>
          <t>DuBois, Pauline:</t>
        </r>
        <r>
          <rPr>
            <sz val="9"/>
            <color indexed="81"/>
            <rFont val="Tahoma"/>
            <family val="2"/>
          </rPr>
          <t xml:space="preserve">
Removed per McKenzie 9/23/2021 - Project is an idea and not being moved forward at this time
$250,000</t>
        </r>
      </text>
    </comment>
    <comment ref="O146" authorId="0" shapeId="0" xr:uid="{00000000-0006-0000-0000-000011000000}">
      <text>
        <r>
          <rPr>
            <b/>
            <sz val="9"/>
            <color indexed="81"/>
            <rFont val="Tahoma"/>
            <family val="2"/>
          </rPr>
          <t>DuBois, Pauline:</t>
        </r>
        <r>
          <rPr>
            <sz val="9"/>
            <color indexed="81"/>
            <rFont val="Tahoma"/>
            <family val="2"/>
          </rPr>
          <t xml:space="preserve">
Removed per McKenzie 9/23/2021 - Project is an idea and not being moved forward at this time
$1,000</t>
        </r>
      </text>
    </comment>
    <comment ref="J163" authorId="1" shapeId="0" xr:uid="{00000000-0006-0000-0000-000012000000}">
      <text>
        <r>
          <rPr>
            <b/>
            <sz val="9"/>
            <color indexed="81"/>
            <rFont val="Tahoma"/>
            <family val="2"/>
          </rPr>
          <t>Vaillancourt, Whitney:</t>
        </r>
        <r>
          <rPr>
            <sz val="9"/>
            <color indexed="81"/>
            <rFont val="Tahoma"/>
            <family val="2"/>
          </rPr>
          <t xml:space="preserve">
FY20 expense of 4,480 as not factored into FY21 adjustment 1.29.21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Vaillancourt, Whitney</author>
  </authors>
  <commentList>
    <comment ref="N24" authorId="0" shapeId="0" xr:uid="{00000000-0006-0000-0200-000001000000}">
      <text>
        <r>
          <rPr>
            <b/>
            <sz val="9"/>
            <color indexed="81"/>
            <rFont val="Tahoma"/>
            <family val="2"/>
          </rPr>
          <t>Vaillancourt, Whitney:</t>
        </r>
        <r>
          <rPr>
            <sz val="9"/>
            <color indexed="81"/>
            <rFont val="Tahoma"/>
            <family val="2"/>
          </rPr>
          <t xml:space="preserve">
6.16.21 - Budget all years @ 8% average per Amber, as % changes every year.
10.18.21 - FY 21 = 3.68 &amp; FY 22 = 3.57 = Using 6% for grant</t>
        </r>
      </text>
    </comment>
  </commentList>
</comments>
</file>

<file path=xl/sharedStrings.xml><?xml version="1.0" encoding="utf-8"?>
<sst xmlns="http://schemas.openxmlformats.org/spreadsheetml/2006/main" count="1163" uniqueCount="516">
  <si>
    <t>GEER I</t>
  </si>
  <si>
    <t>ESSER I</t>
  </si>
  <si>
    <t>GEER II</t>
  </si>
  <si>
    <t>ESSER II</t>
  </si>
  <si>
    <t>Program</t>
  </si>
  <si>
    <t>Virtual instruction Training</t>
  </si>
  <si>
    <t>ESL Support</t>
  </si>
  <si>
    <t>Dropout tracing</t>
  </si>
  <si>
    <t>Workflow software</t>
  </si>
  <si>
    <t>BoardMax</t>
  </si>
  <si>
    <t>Admin</t>
  </si>
  <si>
    <t>SL</t>
  </si>
  <si>
    <t>ESSER I - 1913</t>
  </si>
  <si>
    <t>GEER I - 1912</t>
  </si>
  <si>
    <t>Total Obligated</t>
  </si>
  <si>
    <t>Total Allowed</t>
  </si>
  <si>
    <t>Total Remain</t>
  </si>
  <si>
    <t>Audit Fund</t>
  </si>
  <si>
    <t>Benefits</t>
  </si>
  <si>
    <t>CL</t>
  </si>
  <si>
    <t>Transfers to DOIT</t>
  </si>
  <si>
    <t>Transfers to Gen Serv (Rent)</t>
  </si>
  <si>
    <t>Indirect Cost</t>
  </si>
  <si>
    <t>Post Retirement</t>
  </si>
  <si>
    <t>In State Travel</t>
  </si>
  <si>
    <t>Out of State Travel</t>
  </si>
  <si>
    <t>Paula Oliviera - Contractor</t>
  </si>
  <si>
    <t>Christopher Benedetti - Contractor</t>
  </si>
  <si>
    <t>RWS Technology FY20 PO</t>
  </si>
  <si>
    <t>RWS Technology FY20 PO Adj to Old Contr</t>
  </si>
  <si>
    <t>Kindergarten Assessment</t>
  </si>
  <si>
    <t>Current Expenses</t>
  </si>
  <si>
    <t>Equipment</t>
  </si>
  <si>
    <t>Technology Hardware</t>
  </si>
  <si>
    <t>Telecommunications (Verizon, VOIP, DATA)</t>
  </si>
  <si>
    <t>Intra-Agency Transfers (Copier + Compliance)</t>
  </si>
  <si>
    <t>Temp Part Time Salaries (Cost Allocations)</t>
  </si>
  <si>
    <t>Budget Summary</t>
  </si>
  <si>
    <t>Total Contracts</t>
  </si>
  <si>
    <t>Total CL102 Contracts</t>
  </si>
  <si>
    <t>Total CL072 Contracts</t>
  </si>
  <si>
    <t>CL072 Contract Breakdown</t>
  </si>
  <si>
    <t>CL102 Contract Breakdown</t>
  </si>
  <si>
    <t>GEER II - 1959</t>
  </si>
  <si>
    <t>ESSER II - 1958</t>
  </si>
  <si>
    <t>Field Technology CTE</t>
  </si>
  <si>
    <t>RWS FY21 Contract Ammendment</t>
  </si>
  <si>
    <t>Program Contact</t>
  </si>
  <si>
    <t>Stephen Appleby</t>
  </si>
  <si>
    <t>Timothy Hill</t>
  </si>
  <si>
    <t>Christine Brennan</t>
  </si>
  <si>
    <t>TBD</t>
  </si>
  <si>
    <t>Caitlin Davis</t>
  </si>
  <si>
    <t>Wendy Perron</t>
  </si>
  <si>
    <t>Laura Stoneking</t>
  </si>
  <si>
    <r>
      <t>Grants Federal - Contracts</t>
    </r>
    <r>
      <rPr>
        <i/>
        <sz val="11"/>
        <color theme="1"/>
        <rFont val="Calibri"/>
        <family val="2"/>
        <scheme val="minor"/>
      </rPr>
      <t xml:space="preserve"> (See Breakdown Below)</t>
    </r>
  </si>
  <si>
    <r>
      <t>Contracts for Program Services</t>
    </r>
    <r>
      <rPr>
        <i/>
        <sz val="11"/>
        <color theme="1"/>
        <rFont val="Calibri"/>
        <family val="2"/>
        <scheme val="minor"/>
      </rPr>
      <t xml:space="preserve"> (See Breakdown Below)</t>
    </r>
  </si>
  <si>
    <t>CAN: 202020</t>
  </si>
  <si>
    <t>CAN: 202018</t>
  </si>
  <si>
    <t>CAN: 202128</t>
  </si>
  <si>
    <t>CAN: 202129</t>
  </si>
  <si>
    <t>CAN: 202127</t>
  </si>
  <si>
    <t>Contract Status</t>
  </si>
  <si>
    <t>Commissioner</t>
  </si>
  <si>
    <t>Executed</t>
  </si>
  <si>
    <t>Panorama NH Family Voice Survey</t>
  </si>
  <si>
    <r>
      <t xml:space="preserve">Grants Federal - GMS </t>
    </r>
    <r>
      <rPr>
        <i/>
        <sz val="11"/>
        <color theme="1"/>
        <rFont val="Calibri"/>
        <family val="2"/>
        <scheme val="minor"/>
      </rPr>
      <t>(Flow Through to LEA's)</t>
    </r>
  </si>
  <si>
    <t>Temp Full Time Salaries</t>
  </si>
  <si>
    <t>Technology Software</t>
  </si>
  <si>
    <t>-</t>
  </si>
  <si>
    <t>AWARD: $3,799,848</t>
  </si>
  <si>
    <t>AWARD: $7,069,209</t>
  </si>
  <si>
    <t>AWARD: $156,065,807</t>
  </si>
  <si>
    <t>Award: $37,641,372</t>
  </si>
  <si>
    <t>Close Budget to Zero (For Governor's Letter, Default Remain Bal)</t>
  </si>
  <si>
    <t>Afterschool</t>
  </si>
  <si>
    <t>Summer Enrich</t>
  </si>
  <si>
    <t>Learning Loss</t>
  </si>
  <si>
    <t>CL 072</t>
  </si>
  <si>
    <t>CL 102</t>
  </si>
  <si>
    <t>Avail Appropriations:</t>
  </si>
  <si>
    <t>PERSONAL SERVICES PERM CLAS</t>
  </si>
  <si>
    <t>OVERTIME</t>
  </si>
  <si>
    <t>CURRENT EXPENSES</t>
  </si>
  <si>
    <t>FOOD INSTITUTIONS</t>
  </si>
  <si>
    <t>RENTS-LEASES OTHER THAN STA</t>
  </si>
  <si>
    <t>HEAT ELECTRICITY WATER</t>
  </si>
  <si>
    <t>MAINT OTHER THAN BUILD-GRN</t>
  </si>
  <si>
    <t>ORGANIZATIONAL DUES</t>
  </si>
  <si>
    <t>TRANSFERS TO DOIT</t>
  </si>
  <si>
    <t>TRANSFERS TO GENERAL SERVIC</t>
  </si>
  <si>
    <t>INTRA-AGENCY TRANSFERS</t>
  </si>
  <si>
    <t>EQUIPMENT NEW REPLACEMENT</t>
  </si>
  <si>
    <t>TECHNOLOGY-HARDWARE</t>
  </si>
  <si>
    <t>TECHNOLOGY-SOFTWARE</t>
  </si>
  <si>
    <t>TELECOMMUNICATIONS</t>
  </si>
  <si>
    <t>INDIRECT COSTS</t>
  </si>
  <si>
    <t>AUDIT FUND SET ASIDE</t>
  </si>
  <si>
    <t>ADDITIONAL FRINGE BENEFITS</t>
  </si>
  <si>
    <t>CONSULTANTS</t>
  </si>
  <si>
    <t>TRANSFER TO OTHER STATE AGE</t>
  </si>
  <si>
    <t>PERSONAL SERVICE TEMP APPOI</t>
  </si>
  <si>
    <t>CONSULTANTS BENEFITED</t>
  </si>
  <si>
    <t>BOOKS PERIODICALS SUBSCRIPT</t>
  </si>
  <si>
    <t>TEMP FULL TIME</t>
  </si>
  <si>
    <t>BENEFITS</t>
  </si>
  <si>
    <t>EMPLOYEE TRAINING</t>
  </si>
  <si>
    <t>TRAINING OF PROVIDERS</t>
  </si>
  <si>
    <t>REMUNERATION</t>
  </si>
  <si>
    <t>IN STATE TRAVEL REIMBURSEME</t>
  </si>
  <si>
    <t>IN STATE TRAVEL STATE BOARD</t>
  </si>
  <si>
    <t>GRANTS FEDERAL</t>
  </si>
  <si>
    <t>GRANTS NON FEDERAL</t>
  </si>
  <si>
    <t>GRANTS SUBSIDIES AND RELIEF</t>
  </si>
  <si>
    <t>OUT OF STATE TRAVEL REIMB</t>
  </si>
  <si>
    <t>EDUCATION GRANTS</t>
  </si>
  <si>
    <t>CONTRACTS FOR PROGRAM SERVI</t>
  </si>
  <si>
    <t>CONTRACTS FOR OP SERVICES</t>
  </si>
  <si>
    <t>SCHOLARSHIPS AND GRANTS</t>
  </si>
  <si>
    <t>INTERPRETER SERVICE</t>
  </si>
  <si>
    <t>TRANSCRIPTION SERVICES</t>
  </si>
  <si>
    <t>STATE FUND MATCH</t>
  </si>
  <si>
    <t>STATE FUND NON-MATCH</t>
  </si>
  <si>
    <t>VR CLIENTS</t>
  </si>
  <si>
    <t>DDS CLIENTS</t>
  </si>
  <si>
    <t>TOTAL</t>
  </si>
  <si>
    <t>EANS I</t>
  </si>
  <si>
    <t>EANS I - 1970</t>
  </si>
  <si>
    <t>ESSER III</t>
  </si>
  <si>
    <t>1912 - 202020</t>
  </si>
  <si>
    <t>1913 - 202018</t>
  </si>
  <si>
    <t>1959 - 202128</t>
  </si>
  <si>
    <t>1970 - 202129</t>
  </si>
  <si>
    <t>1958 - 202127</t>
  </si>
  <si>
    <t>As Of:</t>
  </si>
  <si>
    <r>
      <t>Note To Programs:</t>
    </r>
    <r>
      <rPr>
        <b/>
        <i/>
        <sz val="12"/>
        <color theme="1"/>
        <rFont val="Calibri"/>
        <family val="2"/>
        <scheme val="minor"/>
      </rPr>
      <t xml:space="preserve"> </t>
    </r>
    <r>
      <rPr>
        <i/>
        <sz val="12"/>
        <color theme="1"/>
        <rFont val="Calibri"/>
        <family val="2"/>
        <scheme val="minor"/>
      </rPr>
      <t>This document is for BA entry in order to make updates easier, you can find all this information on the Consolidated FM11 Page</t>
    </r>
  </si>
  <si>
    <t>Learning Pod Administrative Subgrants to LEA's</t>
  </si>
  <si>
    <t>Annie Wallace</t>
  </si>
  <si>
    <t>DIFF In FRM 11 to Cons:</t>
  </si>
  <si>
    <t>Appropriation (Gov Budg)</t>
  </si>
  <si>
    <t>Obligation (Cons Frm11)</t>
  </si>
  <si>
    <t>Remain</t>
  </si>
  <si>
    <t>Before you copy and paste in new updates, copy Cons. Fm 11 and paste in as numbers so formulas will not change old dated ones.</t>
  </si>
  <si>
    <t>Spotlight Contract</t>
  </si>
  <si>
    <t>Sarah Wheeler</t>
  </si>
  <si>
    <t>VEX (Spark Academy) Robotics Education</t>
  </si>
  <si>
    <t>Paid in Full</t>
  </si>
  <si>
    <t>Tutoring &amp; Afterschool - Comm Mental Health Assoc.</t>
  </si>
  <si>
    <t>PO #</t>
  </si>
  <si>
    <t>CAN: 202130</t>
  </si>
  <si>
    <t>Language Bank</t>
  </si>
  <si>
    <t>ESSER III - 2437 (Prev. 1974)</t>
  </si>
  <si>
    <t>McKenzie Snow</t>
  </si>
  <si>
    <t>Employee Training</t>
  </si>
  <si>
    <t>MOU with DAS/DPW - Construction</t>
  </si>
  <si>
    <t>MOU with DAS - EANS</t>
  </si>
  <si>
    <t>24-B</t>
  </si>
  <si>
    <t>24-A</t>
  </si>
  <si>
    <t>23-B</t>
  </si>
  <si>
    <t>23-A</t>
  </si>
  <si>
    <t>VACANT</t>
  </si>
  <si>
    <t>Mccaffrey, Marcia</t>
  </si>
  <si>
    <t>9T3085</t>
  </si>
  <si>
    <t>LMS - Admin I</t>
  </si>
  <si>
    <t>TMPPT5991</t>
  </si>
  <si>
    <t>BA III</t>
  </si>
  <si>
    <t>Clarke, Elizabeth</t>
  </si>
  <si>
    <t>9T3003</t>
  </si>
  <si>
    <t>CARES - Admin I</t>
  </si>
  <si>
    <t>DIFF</t>
  </si>
  <si>
    <t>Total</t>
  </si>
  <si>
    <t>XX</t>
  </si>
  <si>
    <t>FY</t>
  </si>
  <si>
    <t>AU Housed:</t>
  </si>
  <si>
    <t>POS#</t>
  </si>
  <si>
    <t>POS Title</t>
  </si>
  <si>
    <t>Employee Name</t>
  </si>
  <si>
    <t>OTHER AU's</t>
  </si>
  <si>
    <t>Grant Title:</t>
  </si>
  <si>
    <t>FY25-A</t>
  </si>
  <si>
    <t>FY24-A</t>
  </si>
  <si>
    <t>FY23-A</t>
  </si>
  <si>
    <t>Grant End</t>
  </si>
  <si>
    <t>CARES - Admin IV</t>
  </si>
  <si>
    <t>^Prev. V., Whitney</t>
  </si>
  <si>
    <t>FT - CARES - PS IV</t>
  </si>
  <si>
    <t>PT - CARES - PS IV</t>
  </si>
  <si>
    <t>2437 - 202130</t>
  </si>
  <si>
    <t>LOCKED BUDGET</t>
  </si>
  <si>
    <t>Accountant III</t>
  </si>
  <si>
    <t>**Needs to be moved to GEER II with HR when Funding Ends 9/30/2022</t>
  </si>
  <si>
    <t>DuBois, Pauline</t>
  </si>
  <si>
    <t>6.30.21</t>
  </si>
  <si>
    <t>Expenses thru:</t>
  </si>
  <si>
    <r>
      <t>Note To Programs:</t>
    </r>
    <r>
      <rPr>
        <b/>
        <i/>
        <sz val="12"/>
        <color theme="1"/>
        <rFont val="Calibri"/>
        <family val="2"/>
        <scheme val="minor"/>
      </rPr>
      <t xml:space="preserve"> </t>
    </r>
    <r>
      <rPr>
        <i/>
        <sz val="12"/>
        <color theme="1"/>
        <rFont val="Calibri"/>
        <family val="2"/>
        <scheme val="minor"/>
      </rPr>
      <t>This document is for BA entry only to continue to have a consolidated budget summary on the Consolidated FM11 Tab</t>
    </r>
  </si>
  <si>
    <t>Braman, Kristine</t>
  </si>
  <si>
    <t>**Per McKenzie 7-12-21 Should be filled within 6 weeks</t>
  </si>
  <si>
    <t>**Per McKenzie 7-12-21 still need SJD minimum 6 weeks out (8/27/21) = 20pp FY 22</t>
  </si>
  <si>
    <t>Robert Half Support Staff FY 21 &amp; 22</t>
  </si>
  <si>
    <t>First NH Spring Back Plan</t>
  </si>
  <si>
    <t>Reporting State Plan</t>
  </si>
  <si>
    <t>FY21 Ammendment #3</t>
  </si>
  <si>
    <t>FY22 Technology Contract</t>
  </si>
  <si>
    <t>Social Media COVID</t>
  </si>
  <si>
    <t>334868-Luke Crory Production</t>
  </si>
  <si>
    <t>Vendor Name &amp; #</t>
  </si>
  <si>
    <t>333447-Kleo Inc</t>
  </si>
  <si>
    <r>
      <t xml:space="preserve">Rekindling Curiosity/Class Wallet </t>
    </r>
    <r>
      <rPr>
        <i/>
        <sz val="11"/>
        <color theme="1"/>
        <rFont val="Calibri"/>
        <family val="2"/>
        <scheme val="minor"/>
      </rPr>
      <t>(Split between CL72/102)</t>
    </r>
  </si>
  <si>
    <t>160062-United Way of Greater Nashua</t>
  </si>
  <si>
    <t>343717-Protiviti Government Services</t>
  </si>
  <si>
    <t>336417-First NH Robotics</t>
  </si>
  <si>
    <t>218944-Cookson Strategies Corp</t>
  </si>
  <si>
    <t>312756-AWATO</t>
  </si>
  <si>
    <t>Work Based Learning Coordinator</t>
  </si>
  <si>
    <t>179709-Georgetown University</t>
  </si>
  <si>
    <t>Consultant - Ron Muir</t>
  </si>
  <si>
    <t>311835-RM Consulting</t>
  </si>
  <si>
    <t>177491-Granite State College</t>
  </si>
  <si>
    <t>352540-Prenda Inc</t>
  </si>
  <si>
    <t>355870-NH Comm. Behavioral Health</t>
  </si>
  <si>
    <t>311152-Admin Srvs.</t>
  </si>
  <si>
    <t>Awarded to State: 2/25/2021</t>
  </si>
  <si>
    <t>State Obligate/Award By: 8/25/2021</t>
  </si>
  <si>
    <t>Grant Expire/Expend By: 9/30/2022</t>
  </si>
  <si>
    <t>Awarded to State: 6/1/2020</t>
  </si>
  <si>
    <t>Awarded to State:  1/5/2021</t>
  </si>
  <si>
    <t>Tydings:  9/30/2024</t>
  </si>
  <si>
    <t>State Obligate/Award By: 4/30/2021</t>
  </si>
  <si>
    <t>Awarded to State:  5/1/2020</t>
  </si>
  <si>
    <t>Tydings:  9/30/2022</t>
  </si>
  <si>
    <t>Awarded to State: 1/8/21</t>
  </si>
  <si>
    <t>Tydings:  9/30/2023</t>
  </si>
  <si>
    <t>State Obligate/Award By:  ??</t>
  </si>
  <si>
    <t>Awarded to State:  3/24/2021</t>
  </si>
  <si>
    <t>Grant Expire/Expend By:  9/30/2023</t>
  </si>
  <si>
    <t>Grant Expire/Expend By: 9/30/2021</t>
  </si>
  <si>
    <t>Grant Expire/Expend By:  9/30/2022</t>
  </si>
  <si>
    <t>Grant Expire/Expend By: 09/30/2022</t>
  </si>
  <si>
    <t>**Per McKenzie 7-15-21 - Allocate 60-70% to GEER I and 20-30% to ESSER II with 10% to ESSER III</t>
  </si>
  <si>
    <t>Awarded to State: 4/23/2021</t>
  </si>
  <si>
    <t>Tydings: 9/30/2024</t>
  </si>
  <si>
    <t>AWARD: $2,296,237</t>
  </si>
  <si>
    <t>ARP-Homeless</t>
  </si>
  <si>
    <t>Homeless</t>
  </si>
  <si>
    <t>307565-Panorama Education</t>
  </si>
  <si>
    <t>286768-RWS</t>
  </si>
  <si>
    <t>Pcard Purchases</t>
  </si>
  <si>
    <t>358272-Global Counsel</t>
  </si>
  <si>
    <t>State Obligate/Award By:  1/5/2022</t>
  </si>
  <si>
    <t>State Obligate/Award By:  1/8/2022</t>
  </si>
  <si>
    <t>8T3068</t>
  </si>
  <si>
    <t>Tydings: 9/30/2023</t>
  </si>
  <si>
    <t>**Per McKenzie 8-19-21 - Position to be considered filled and available even with PS IV FT Position filled</t>
  </si>
  <si>
    <t>Training of Providers</t>
  </si>
  <si>
    <t>2492 - 202197</t>
  </si>
  <si>
    <t>168693-Discovery Education</t>
  </si>
  <si>
    <t>CAN: 202197</t>
  </si>
  <si>
    <t>315187-UNH</t>
  </si>
  <si>
    <t>GMS</t>
  </si>
  <si>
    <t>**Per McKenzie 9-14-21 this position not to be filled until January 2022</t>
  </si>
  <si>
    <t>Aaron Fuchs</t>
  </si>
  <si>
    <t>State Obligate/Award By:  3/24/2022</t>
  </si>
  <si>
    <t>AWARD: $350,561,159</t>
  </si>
  <si>
    <t>Dotson, Christina</t>
  </si>
  <si>
    <t>**Per McKenzie 10-19-21 - Liz to remain PT/Allocation to be adjusted Qtrly based on projects</t>
  </si>
  <si>
    <t>Awarded to State: 10/25/2021</t>
  </si>
  <si>
    <t xml:space="preserve">State Obligate/Award By: </t>
  </si>
  <si>
    <t>AWARD: $6,698,664</t>
  </si>
  <si>
    <t>ARP-EANS II</t>
  </si>
  <si>
    <t>This line needs to be adjusted once ARP-EANS II is awarded</t>
  </si>
  <si>
    <t>Community Learning Pod - FY 22</t>
  </si>
  <si>
    <t>March 2023 - Switch to a 1 person plan</t>
  </si>
  <si>
    <t>High Quality Instructional Materials - SPLIT with Class 102</t>
  </si>
  <si>
    <t>ARP - EANS II - 2499</t>
  </si>
  <si>
    <t>ARP-Homeless (Fiscal/G&amp;C) - 2492</t>
  </si>
  <si>
    <t>CAN: 202131</t>
  </si>
  <si>
    <t>2499 - 202131</t>
  </si>
  <si>
    <t>2437-SUMMARY</t>
  </si>
  <si>
    <t>Data Reporting</t>
  </si>
  <si>
    <t>385797-Burbio</t>
  </si>
  <si>
    <t>159040-Community &amp; School Partners LLC</t>
  </si>
  <si>
    <t>218944-Cookson</t>
  </si>
  <si>
    <t>**Liz Mccormack left position 12/10/2021</t>
  </si>
  <si>
    <t>Mini Splits</t>
  </si>
  <si>
    <t>^Per McKenzie 12/21/21-May reclass Admin I position 9T3003 to Admin IV if Admin I position not filled</t>
  </si>
  <si>
    <t>Train the Trainer Model</t>
  </si>
  <si>
    <t>300027-Hear this Now</t>
  </si>
  <si>
    <t>?</t>
  </si>
  <si>
    <t>Private School Allocation - EANS I</t>
  </si>
  <si>
    <t>Private School Allocation - EANS I+</t>
  </si>
  <si>
    <t>FACTS</t>
  </si>
  <si>
    <t>ADAC</t>
  </si>
  <si>
    <t>278655-Nat'l Center for College &amp; Career Transition</t>
  </si>
  <si>
    <t>Waterford - Out-of School/After-School</t>
  </si>
  <si>
    <t>Podgorski, Ellen</t>
  </si>
  <si>
    <t>McElveen Strategies LLC</t>
  </si>
  <si>
    <t>Caitlin &amp; McKenzie</t>
  </si>
  <si>
    <t>Tim Hill</t>
  </si>
  <si>
    <r>
      <t>Yes Scholarship Program/Class Wallet</t>
    </r>
    <r>
      <rPr>
        <i/>
        <sz val="11"/>
        <color theme="1"/>
        <rFont val="Calibri"/>
        <family val="2"/>
        <scheme val="minor"/>
      </rPr>
      <t xml:space="preserve"> (Split between CL72/102)</t>
    </r>
  </si>
  <si>
    <t>**Per Teams Message 2/10/22 - Onboarding in June 2022</t>
  </si>
  <si>
    <t>25-A</t>
  </si>
  <si>
    <t>**2.23.22 Per McKenzie - budget position in Admin for ESSER III</t>
  </si>
  <si>
    <t>368095-FACTS Education</t>
  </si>
  <si>
    <t>369437-ADAC Inc</t>
  </si>
  <si>
    <t>Various Vendors</t>
  </si>
  <si>
    <t>Various PO's</t>
  </si>
  <si>
    <t>Removed</t>
  </si>
  <si>
    <t>Per McKenzie</t>
  </si>
  <si>
    <t>Grant Expire/Expend By: 9/30/2023</t>
  </si>
  <si>
    <t>Darsney, Ken</t>
  </si>
  <si>
    <t>**New hire form signed 3.9.22 - Start date 7.1.22</t>
  </si>
  <si>
    <t>FY23 Technology Contract</t>
  </si>
  <si>
    <t>Boston College</t>
  </si>
  <si>
    <t>Public School Exit Research</t>
  </si>
  <si>
    <t>KaiPod (Split with class 102)</t>
  </si>
  <si>
    <t>Contract Period</t>
  </si>
  <si>
    <t>N/A</t>
  </si>
  <si>
    <t>Tableau - Associated with Dashboard (Split with Class 72)</t>
  </si>
  <si>
    <t>Tableau - Associated with Dashboard (Split with Class 102)</t>
  </si>
  <si>
    <t>3.9.22-9.30.23</t>
  </si>
  <si>
    <t>3.9.22-6.30.23</t>
  </si>
  <si>
    <t>Closed</t>
  </si>
  <si>
    <t>6.21.21-9.30.23</t>
  </si>
  <si>
    <t>8.2.21-5.31.22</t>
  </si>
  <si>
    <t>Career Assessment AWATO (Split with Class 102)</t>
  </si>
  <si>
    <t>8T3103</t>
  </si>
  <si>
    <t>KaiPod (Split with class 72)</t>
  </si>
  <si>
    <t>6.30.21-9.30.24</t>
  </si>
  <si>
    <t>7.22.20-7.14.25</t>
  </si>
  <si>
    <t>7.14.21-6.30.25</t>
  </si>
  <si>
    <t>ESL Support-Second Start - Adult Ed</t>
  </si>
  <si>
    <t>6.30.23</t>
  </si>
  <si>
    <t>4.7.21-12.31.23</t>
  </si>
  <si>
    <t>4.12.21-12.31.23</t>
  </si>
  <si>
    <t>4.29.21-9.30.22</t>
  </si>
  <si>
    <t>4.29.21-9.30.23</t>
  </si>
  <si>
    <t>12.22.21-9.30.24</t>
  </si>
  <si>
    <t>1.26.22-9.30.23</t>
  </si>
  <si>
    <t>7.1.21-6.30.22</t>
  </si>
  <si>
    <t>7.1.22-6.30.23</t>
  </si>
  <si>
    <t>Commissioner/Caitlyn</t>
  </si>
  <si>
    <t>Jeff Beard</t>
  </si>
  <si>
    <t>Christine B./Stacey</t>
  </si>
  <si>
    <t>Doug-DOIT</t>
  </si>
  <si>
    <t>4.16.21-9.30.23</t>
  </si>
  <si>
    <t>6.2.21-9.30.22</t>
  </si>
  <si>
    <t>4.16.21-9.30.22</t>
  </si>
  <si>
    <t>391757-Waterford</t>
  </si>
  <si>
    <t>9.15.21-6.30.22</t>
  </si>
  <si>
    <t>National Center for College &amp; Career Transition-Alt Pathway to completion</t>
  </si>
  <si>
    <t>Science of Reading Instit. Of Higer Education Best Practices</t>
  </si>
  <si>
    <t xml:space="preserve">Science of Reading Prof. Devel. </t>
  </si>
  <si>
    <t>Marica McCaffrey</t>
  </si>
  <si>
    <t>Regulated Classroom</t>
  </si>
  <si>
    <t>Hear this Now</t>
  </si>
  <si>
    <t>Frank</t>
  </si>
  <si>
    <t>Kim Houghton</t>
  </si>
  <si>
    <t>**3/2022 - Tammy created new 8T for this position</t>
  </si>
  <si>
    <t>^Per McKenzie, POS moving to "Unfunded" status to fund new FT PS IV.  FT Position needs to be created - Liz to remain PT for part of FY 22</t>
  </si>
  <si>
    <t>**Start date 1/28/22</t>
  </si>
  <si>
    <t>603 Bright Futures Survey</t>
  </si>
  <si>
    <t>Panorama</t>
  </si>
  <si>
    <t>Career Assessment AWATO (Split with Class 72)</t>
  </si>
  <si>
    <t>Lescarbeau, Jessica</t>
  </si>
  <si>
    <t>** Position filled Tentative start date 4/22/22</t>
  </si>
  <si>
    <t>Melissa White</t>
  </si>
  <si>
    <t>397805-KaiPod Learning</t>
  </si>
  <si>
    <t>7.1.22-6.30.24</t>
  </si>
  <si>
    <t>Jeff/Nicole-CTE</t>
  </si>
  <si>
    <t>394849-McElveen Strategies</t>
  </si>
  <si>
    <t>SHI</t>
  </si>
  <si>
    <t>Next Step Good Life</t>
  </si>
  <si>
    <t>Homeless Comm. Based Services - RFP</t>
  </si>
  <si>
    <t>Christy</t>
  </si>
  <si>
    <t>Private School Allocation - ARP EANS II</t>
  </si>
  <si>
    <t>FACTS - Amendment</t>
  </si>
  <si>
    <t>HashTag Positivity</t>
  </si>
  <si>
    <t>Seacoast Literacy</t>
  </si>
  <si>
    <t>MPA Conference</t>
  </si>
  <si>
    <t>MOU with DAS - ARP EANS II</t>
  </si>
  <si>
    <t>RWS - Dashboard Project - FY23</t>
  </si>
  <si>
    <t>FT - CARES - PS II</t>
  </si>
  <si>
    <t>Pfaff, Melinda</t>
  </si>
  <si>
    <t>VLACS - Potential Additional Funds from Rekindling &amp; iLearn</t>
  </si>
  <si>
    <t>Ryanne Dennis</t>
  </si>
  <si>
    <t>Community Based Organization RFP -Summer Enrichment 2023</t>
  </si>
  <si>
    <t>iLearn - Canvas I - UNH LMS (FY21-25)</t>
  </si>
  <si>
    <t>VLACS - Grant Application Given</t>
  </si>
  <si>
    <t>NH Fisher Cats Partnership</t>
  </si>
  <si>
    <t>Community &amp; School Partners - i4See-Collection Development &amp; collection</t>
  </si>
  <si>
    <t>One Trusted Adult</t>
  </si>
  <si>
    <t>Science of Reading Prof. Devel.  (Split with Class 102)</t>
  </si>
  <si>
    <t>Marcia McCaffrey</t>
  </si>
  <si>
    <t>Jen Doris</t>
  </si>
  <si>
    <t>161200-Boston College</t>
  </si>
  <si>
    <t>Dennis, Ryanne</t>
  </si>
  <si>
    <t>**Per McKenzie, POS moving to "Unfunded" status to fund new Admin IV</t>
  </si>
  <si>
    <t>**Per meeting 5/26/22 - Kristine not to work on CARES going forward</t>
  </si>
  <si>
    <t>**Per meeting 5/26/22 - Marcia not to work on CARES going forward</t>
  </si>
  <si>
    <t>**Per meeting 5/26/22 - Elizabeth not to work on CARES going forward</t>
  </si>
  <si>
    <t>SOA 7-24-2021</t>
  </si>
  <si>
    <t>TOTAL SOA'S</t>
  </si>
  <si>
    <t>SOA 7-19-2020</t>
  </si>
  <si>
    <t>Tammy</t>
  </si>
  <si>
    <t>Jessica Lescarbeau</t>
  </si>
  <si>
    <t>PAAC 7.8.22</t>
  </si>
  <si>
    <t>401946-Hashtag</t>
  </si>
  <si>
    <t>*FY 24 - Position budgeted to AU 2437</t>
  </si>
  <si>
    <t>Work as Learning - AWATO</t>
  </si>
  <si>
    <t>Tutoring</t>
  </si>
  <si>
    <t>Science of Reading - Promotional - Statewide Reading Campaign</t>
  </si>
  <si>
    <t>354092 -Brooklyn Raney</t>
  </si>
  <si>
    <t>6.29.22-6.30.24</t>
  </si>
  <si>
    <t>168155-NH Triple Play LLC</t>
  </si>
  <si>
    <t>5.4.22-9.30.24</t>
  </si>
  <si>
    <t>5.20.22-9.30.24</t>
  </si>
  <si>
    <t>7.12.22-9.3.24</t>
  </si>
  <si>
    <t>408843-Graduation Alliance</t>
  </si>
  <si>
    <t>Engage Attendance Recovery Program</t>
  </si>
  <si>
    <t>310930-Nextstep LLC</t>
  </si>
  <si>
    <t>4.6.22-6.30.24</t>
  </si>
  <si>
    <t>FY24 Technology Contract</t>
  </si>
  <si>
    <t>GUD</t>
  </si>
  <si>
    <t>11.10.20-12.31.23</t>
  </si>
  <si>
    <t>Cookson-Outreach Strategies &amp; 603 Moments (Split with Class 72)</t>
  </si>
  <si>
    <t>High Quality Instructional Materials (Split with Class 72)</t>
  </si>
  <si>
    <t>Cookson-Outreach Strategies &amp; 603 Moments (Split with Class 102)</t>
  </si>
  <si>
    <t>Homeless Comm. Based Services</t>
  </si>
  <si>
    <t>177166-WayPoint</t>
  </si>
  <si>
    <t>Christy Dotson</t>
  </si>
  <si>
    <t>Not Completed</t>
  </si>
  <si>
    <t>WIP</t>
  </si>
  <si>
    <t>Mental Health - Comm. Behavioral Health</t>
  </si>
  <si>
    <t>SOA 7-22-2022</t>
  </si>
  <si>
    <t>Prospect Mountain Open Enrollment - GMS</t>
  </si>
  <si>
    <t>Manchester Open Enrollment - GMS</t>
  </si>
  <si>
    <t>175710-RMC Research Corp</t>
  </si>
  <si>
    <t>7.1.23-6.30-23</t>
  </si>
  <si>
    <t>ABC Wild Cat Properties - 603 Moments</t>
  </si>
  <si>
    <t>**9-8-22 This position to be eliminated and replaced with FT position 40547 - at 40/40 split for funding</t>
  </si>
  <si>
    <t>Gallup Inc</t>
  </si>
  <si>
    <t>PAAC 9.8.22</t>
  </si>
  <si>
    <t>AWARD: $8,891,635</t>
  </si>
  <si>
    <t>Project Happy</t>
  </si>
  <si>
    <t>358281-Seacoast Literacy</t>
  </si>
  <si>
    <t>407661-Lexia Learning</t>
  </si>
  <si>
    <t>384099-Princeton Review</t>
  </si>
  <si>
    <t>8.17.22-9.30.24</t>
  </si>
  <si>
    <t>8.17.22-8.31.25</t>
  </si>
  <si>
    <t>7.27.22-9.30.24</t>
  </si>
  <si>
    <t>8.17.22-12.31.23</t>
  </si>
  <si>
    <t>9.7.22-9.30.24</t>
  </si>
  <si>
    <t>417351-GUD</t>
  </si>
  <si>
    <t>8.17.22-9.3.24</t>
  </si>
  <si>
    <t>311152-DAS</t>
  </si>
  <si>
    <t>9.7.22-6.30.24</t>
  </si>
  <si>
    <t>9.21.22-9.30.24</t>
  </si>
  <si>
    <t>NEED PO #</t>
  </si>
  <si>
    <t>PAAC 9.29.22</t>
  </si>
  <si>
    <t>PAAC 9.15.22</t>
  </si>
  <si>
    <t>10.4.22-8.31.23</t>
  </si>
  <si>
    <t>154139-Granite YMCA</t>
  </si>
  <si>
    <t>Granite YMCA-Homeless Child/Youth</t>
  </si>
  <si>
    <t>UNH-Youth Success Project</t>
  </si>
  <si>
    <t>ABC Wild Cat Properties</t>
  </si>
  <si>
    <t>UNH</t>
  </si>
  <si>
    <r>
      <t>Edunomics Labs - education finance training</t>
    </r>
    <r>
      <rPr>
        <i/>
        <sz val="11"/>
        <color rgb="FF0070C0"/>
        <rFont val="Calibri"/>
        <family val="2"/>
        <scheme val="minor"/>
      </rPr>
      <t xml:space="preserve"> (Split between CL72/102)</t>
    </r>
  </si>
  <si>
    <r>
      <t xml:space="preserve">Rekindling Curiosity/Class Wallet </t>
    </r>
    <r>
      <rPr>
        <i/>
        <sz val="11"/>
        <color rgb="FF0070C0"/>
        <rFont val="Calibri"/>
        <family val="2"/>
        <scheme val="minor"/>
      </rPr>
      <t>(Split between CL72/102)</t>
    </r>
  </si>
  <si>
    <r>
      <t>Zoom Rooms</t>
    </r>
    <r>
      <rPr>
        <i/>
        <sz val="11"/>
        <color rgb="FF0070C0"/>
        <rFont val="Calibri"/>
        <family val="2"/>
        <scheme val="minor"/>
      </rPr>
      <t xml:space="preserve"> - Item Purchases, so no PO</t>
    </r>
  </si>
  <si>
    <r>
      <t>GMS System</t>
    </r>
    <r>
      <rPr>
        <i/>
        <sz val="11"/>
        <color rgb="FF0070C0"/>
        <rFont val="Calibri"/>
        <family val="2"/>
        <scheme val="minor"/>
      </rPr>
      <t xml:space="preserve"> (Split between CL72/102)</t>
    </r>
  </si>
  <si>
    <r>
      <t>Edunomics Labs - education finance training</t>
    </r>
    <r>
      <rPr>
        <i/>
        <sz val="11"/>
        <color rgb="FF0070C0"/>
        <rFont val="Calibri"/>
        <family val="2"/>
        <scheme val="minor"/>
      </rPr>
      <t xml:space="preserve"> (Split with Class 102)</t>
    </r>
  </si>
  <si>
    <t>PAAC 9.30.22</t>
  </si>
  <si>
    <t>PAAC 10.6.22</t>
  </si>
  <si>
    <t>10.6.2022</t>
  </si>
  <si>
    <t>State Level</t>
  </si>
  <si>
    <t>Summer Enrichment</t>
  </si>
  <si>
    <t>After School</t>
  </si>
  <si>
    <t>Total Award</t>
  </si>
  <si>
    <t xml:space="preserve">Administrative </t>
  </si>
  <si>
    <t>Program (Allocation to LEAs)</t>
  </si>
  <si>
    <t>First NH Robotics/Robotics Program</t>
  </si>
  <si>
    <t>GUD/Science of Reading</t>
  </si>
  <si>
    <t>UNH/iLearn Canvas</t>
  </si>
  <si>
    <t>Brooklyn Raney/One Trusted Adult</t>
  </si>
  <si>
    <t>Here This Now/The Regulated Classroom</t>
  </si>
  <si>
    <t>AWATO/Work as Learning</t>
  </si>
  <si>
    <t>Nat'l Center for College &amp; Career Transition/Alt. Pathway to Completion</t>
  </si>
  <si>
    <t>Boston College/Research</t>
  </si>
  <si>
    <t>Vendor TBD/Summer Enrichment</t>
  </si>
  <si>
    <t>Discovery Education/High Quality Instructional Material</t>
  </si>
  <si>
    <t>Georgetown University/Edunomics Labs/Education Finance Training</t>
  </si>
  <si>
    <t>Second Start/English as a Second Language</t>
  </si>
  <si>
    <t>Gallup/Research</t>
  </si>
  <si>
    <t>Graduation Alliance/Mentoring Program</t>
  </si>
  <si>
    <t>Granite State College/Teacher Training</t>
  </si>
  <si>
    <t>KaiPod/Learning Pod</t>
  </si>
  <si>
    <t>Kleo/Rekindling Curiosity Summer Camp</t>
  </si>
  <si>
    <t>Kleo/Yes! Every Student Tutoring Scholarships</t>
  </si>
  <si>
    <t>Lexia LETRS/Teacher Training Reading</t>
  </si>
  <si>
    <t>Manchester &amp; Prospect Mountain/School Innovation</t>
  </si>
  <si>
    <t>NextStep Goodlife/Student Wellness</t>
  </si>
  <si>
    <t>Panorama/Constituent Survey</t>
  </si>
  <si>
    <t>Prenda/Learning Pods</t>
  </si>
  <si>
    <t>TPR/Tutor.com</t>
  </si>
  <si>
    <t>Protiviti/Robert Half/Support Staff</t>
  </si>
  <si>
    <t>RMC/Research</t>
  </si>
  <si>
    <t>United Way/English as a Second Language</t>
  </si>
  <si>
    <t>VLACS/Student Enrolment</t>
  </si>
  <si>
    <t>Waterford/Early Learning</t>
  </si>
  <si>
    <t>Total ESSER III Award</t>
  </si>
  <si>
    <t>Other/Unspent</t>
  </si>
  <si>
    <t>1. ESSER I/GEER I closed 9/30/22 and are in the process of being liquidated. Numbers provided will vary from contracted amounts as we adjust to actual spend.</t>
  </si>
  <si>
    <t xml:space="preserve">2. Per federal law, ESSER III has certain spend requirements, of the 10% set aside for SEA use, 5% has to be used towards learning loss, 1% towards summer enrichment, and another 1% towards afterschool. </t>
  </si>
  <si>
    <t>Community Behavioral Health Association/Mental Health</t>
  </si>
  <si>
    <t>Learning Blade</t>
  </si>
  <si>
    <t>NHED ESSER/GEER Contract and Award Information as of 01/11/23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</si>
</sst>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10"/>
      <color rgb="FFFF0000"/>
      <name val="Calibri"/>
      <family val="2"/>
      <scheme val="minor"/>
    </font>
    <font>
      <sz val="11"/>
      <color rgb="FFFF0000"/>
      <name val="Calibri"/>
      <family val="2"/>
      <scheme val="minor"/>
    </font>
    <font>
      <i/>
      <sz val="11"/>
      <name val="Calibri"/>
      <family val="2"/>
      <scheme val="minor"/>
    </font>
    <font>
      <sz val="12"/>
      <color theme="1"/>
      <name val="Calibri"/>
      <family val="2"/>
      <scheme val="minor"/>
    </font>
    <font>
      <b/>
      <sz val="12"/>
      <color theme="1"/>
      <name val="Calibri"/>
      <family val="2"/>
      <scheme val="minor"/>
    </font>
    <font>
      <b/>
      <sz val="9"/>
      <color indexed="81"/>
      <name val="Tahoma"/>
      <family val="2"/>
    </font>
    <font>
      <sz val="9"/>
      <color indexed="81"/>
      <name val="Tahoma"/>
      <family val="2"/>
    </font>
    <font>
      <b/>
      <i/>
      <sz val="11"/>
      <color theme="1"/>
      <name val="Calibri"/>
      <family val="2"/>
      <scheme val="minor"/>
    </font>
    <font>
      <b/>
      <sz val="14"/>
      <color theme="1"/>
      <name val="Calibri"/>
      <family val="2"/>
      <scheme val="minor"/>
    </font>
    <font>
      <b/>
      <u/>
      <sz val="12"/>
      <color theme="1"/>
      <name val="Calibri"/>
      <family val="2"/>
      <scheme val="minor"/>
    </font>
    <font>
      <b/>
      <sz val="11"/>
      <name val="Calibri"/>
      <family val="2"/>
      <scheme val="minor"/>
    </font>
    <font>
      <b/>
      <i/>
      <sz val="12"/>
      <color theme="1"/>
      <name val="Calibri"/>
      <family val="2"/>
      <scheme val="minor"/>
    </font>
    <font>
      <i/>
      <sz val="12"/>
      <color theme="1"/>
      <name val="Calibri"/>
      <family val="2"/>
      <scheme val="minor"/>
    </font>
    <font>
      <sz val="10"/>
      <name val="Calibri"/>
      <family val="2"/>
      <scheme val="minor"/>
    </font>
    <font>
      <sz val="11"/>
      <name val="Calibri"/>
      <family val="2"/>
      <scheme val="minor"/>
    </font>
    <font>
      <sz val="8"/>
      <name val="Calibri"/>
      <family val="2"/>
      <scheme val="minor"/>
    </font>
    <font>
      <b/>
      <u/>
      <sz val="11"/>
      <name val="Calibri"/>
      <family val="2"/>
      <scheme val="minor"/>
    </font>
    <font>
      <sz val="9"/>
      <name val="Calibri"/>
      <family val="2"/>
      <scheme val="minor"/>
    </font>
    <font>
      <i/>
      <sz val="9"/>
      <name val="Calibri"/>
      <family val="2"/>
      <scheme val="minor"/>
    </font>
    <font>
      <i/>
      <sz val="10"/>
      <name val="Calibri"/>
      <family val="2"/>
      <scheme val="minor"/>
    </font>
    <font>
      <b/>
      <sz val="11"/>
      <color rgb="FFFF0000"/>
      <name val="Calibri"/>
      <family val="2"/>
      <scheme val="minor"/>
    </font>
    <font>
      <i/>
      <sz val="10"/>
      <color theme="1"/>
      <name val="Calibri"/>
      <family val="2"/>
      <scheme val="minor"/>
    </font>
    <font>
      <i/>
      <sz val="11"/>
      <color rgb="FFFF0000"/>
      <name val="Calibri"/>
      <family val="2"/>
      <scheme val="minor"/>
    </font>
    <font>
      <i/>
      <sz val="8"/>
      <name val="Calibri"/>
      <family val="2"/>
      <scheme val="minor"/>
    </font>
    <font>
      <sz val="11"/>
      <color rgb="FF0070C0"/>
      <name val="Calibri"/>
      <family val="2"/>
      <scheme val="minor"/>
    </font>
    <font>
      <i/>
      <sz val="11"/>
      <color rgb="FF0070C0"/>
      <name val="Calibri"/>
      <family val="2"/>
      <scheme val="minor"/>
    </font>
    <font>
      <sz val="10"/>
      <color rgb="FF0070C0"/>
      <name val="Calibri"/>
      <family val="2"/>
      <scheme val="minor"/>
    </font>
    <font>
      <sz val="12"/>
      <name val="Arial"/>
      <family val="2"/>
    </font>
    <font>
      <b/>
      <sz val="12"/>
      <name val="Arial"/>
      <family val="2"/>
    </font>
    <font>
      <sz val="11"/>
      <color theme="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1E3F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CCFF99"/>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theme="7" tint="0.59999389629810485"/>
        <bgColor indexed="64"/>
      </patternFill>
    </fill>
    <fill>
      <patternFill patternType="solid">
        <fgColor rgb="FFFFC000"/>
        <bgColor indexed="64"/>
      </patternFill>
    </fill>
    <fill>
      <patternFill patternType="solid">
        <fgColor theme="4"/>
      </patternFill>
    </fill>
  </fills>
  <borders count="6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hair">
        <color auto="1"/>
      </top>
      <bottom style="hair">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hair">
        <color auto="1"/>
      </top>
      <bottom style="hair">
        <color auto="1"/>
      </bottom>
      <diagonal/>
    </border>
    <border>
      <left/>
      <right/>
      <top style="hair">
        <color auto="1"/>
      </top>
      <bottom/>
      <diagonal/>
    </border>
    <border>
      <left style="medium">
        <color indexed="64"/>
      </left>
      <right style="medium">
        <color indexed="64"/>
      </right>
      <top style="hair">
        <color auto="1"/>
      </top>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style="medium">
        <color indexed="64"/>
      </left>
      <right/>
      <top style="hair">
        <color auto="1"/>
      </top>
      <bottom/>
      <diagonal/>
    </border>
    <border>
      <left/>
      <right style="medium">
        <color indexed="64"/>
      </right>
      <top style="hair">
        <color auto="1"/>
      </top>
      <bottom/>
      <diagonal/>
    </border>
    <border>
      <left/>
      <right/>
      <top/>
      <bottom style="hair">
        <color auto="1"/>
      </bottom>
      <diagonal/>
    </border>
    <border>
      <left style="medium">
        <color indexed="64"/>
      </left>
      <right style="medium">
        <color indexed="64"/>
      </right>
      <top/>
      <bottom style="hair">
        <color auto="1"/>
      </bottom>
      <diagonal/>
    </border>
    <border>
      <left style="thin">
        <color indexed="64"/>
      </left>
      <right style="thin">
        <color indexed="64"/>
      </right>
      <top/>
      <bottom style="hair">
        <color auto="1"/>
      </bottom>
      <diagonal/>
    </border>
    <border>
      <left style="thin">
        <color indexed="64"/>
      </left>
      <right style="medium">
        <color indexed="64"/>
      </right>
      <top/>
      <bottom style="hair">
        <color auto="1"/>
      </bottom>
      <diagonal/>
    </border>
    <border>
      <left style="medium">
        <color indexed="64"/>
      </left>
      <right/>
      <top/>
      <bottom style="hair">
        <color auto="1"/>
      </bottom>
      <diagonal/>
    </border>
    <border>
      <left/>
      <right style="medium">
        <color indexed="64"/>
      </right>
      <top/>
      <bottom style="hair">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diagonal/>
    </border>
    <border>
      <left style="thin">
        <color indexed="64"/>
      </left>
      <right/>
      <top/>
      <bottom/>
      <diagonal/>
    </border>
    <border>
      <left style="thin">
        <color indexed="64"/>
      </left>
      <right/>
      <top style="hair">
        <color auto="1"/>
      </top>
      <bottom style="hair">
        <color auto="1"/>
      </bottom>
      <diagonal/>
    </border>
    <border>
      <left style="thin">
        <color indexed="64"/>
      </left>
      <right/>
      <top/>
      <bottom style="hair">
        <color auto="1"/>
      </bottom>
      <diagonal/>
    </border>
    <border>
      <left style="thin">
        <color indexed="64"/>
      </left>
      <right/>
      <top style="hair">
        <color auto="1"/>
      </top>
      <bottom/>
      <diagonal/>
    </border>
    <border>
      <left style="thin">
        <color indexed="64"/>
      </left>
      <right/>
      <top style="thin">
        <color indexed="64"/>
      </top>
      <bottom/>
      <diagonal/>
    </border>
    <border>
      <left/>
      <right style="thin">
        <color indexed="64"/>
      </right>
      <top style="hair">
        <color auto="1"/>
      </top>
      <bottom style="hair">
        <color auto="1"/>
      </bottom>
      <diagonal/>
    </border>
    <border>
      <left style="hair">
        <color auto="1"/>
      </left>
      <right style="hair">
        <color auto="1"/>
      </right>
      <top/>
      <bottom/>
      <diagonal/>
    </border>
    <border>
      <left/>
      <right style="hair">
        <color auto="1"/>
      </right>
      <top/>
      <bottom/>
      <diagonal/>
    </border>
    <border>
      <left style="thin">
        <color auto="1"/>
      </left>
      <right style="hair">
        <color auto="1"/>
      </right>
      <top/>
      <bottom/>
      <diagonal/>
    </border>
    <border>
      <left style="hair">
        <color auto="1"/>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4" fillId="16" borderId="0" applyNumberFormat="0" applyBorder="0" applyAlignment="0" applyProtection="0"/>
  </cellStyleXfs>
  <cellXfs count="550">
    <xf numFmtId="0" fontId="0" fillId="0" borderId="0" xfId="0"/>
    <xf numFmtId="164" fontId="0" fillId="0" borderId="0" xfId="1" applyNumberFormat="1" applyFont="1"/>
    <xf numFmtId="164" fontId="2" fillId="0" borderId="0" xfId="1" applyNumberFormat="1" applyFont="1"/>
    <xf numFmtId="164" fontId="2" fillId="0" borderId="0" xfId="1" applyNumberFormat="1" applyFont="1" applyAlignment="1">
      <alignment horizontal="center"/>
    </xf>
    <xf numFmtId="164" fontId="0" fillId="0" borderId="0" xfId="1" applyNumberFormat="1" applyFont="1" applyAlignment="1">
      <alignment horizontal="center"/>
    </xf>
    <xf numFmtId="43" fontId="0" fillId="0" borderId="0" xfId="1" applyNumberFormat="1" applyFont="1"/>
    <xf numFmtId="43" fontId="0" fillId="0" borderId="0" xfId="1" applyNumberFormat="1" applyFont="1" applyBorder="1"/>
    <xf numFmtId="0" fontId="0" fillId="0" borderId="0" xfId="0" applyAlignment="1">
      <alignment horizontal="center"/>
    </xf>
    <xf numFmtId="164" fontId="0" fillId="0" borderId="6" xfId="1" applyNumberFormat="1" applyFont="1" applyBorder="1"/>
    <xf numFmtId="43" fontId="0" fillId="0" borderId="6" xfId="1" applyNumberFormat="1" applyFont="1" applyBorder="1"/>
    <xf numFmtId="164" fontId="0" fillId="0" borderId="0" xfId="1" applyNumberFormat="1" applyFont="1" applyAlignment="1">
      <alignment horizontal="right"/>
    </xf>
    <xf numFmtId="43" fontId="0" fillId="0" borderId="9" xfId="1" applyNumberFormat="1" applyFont="1" applyBorder="1"/>
    <xf numFmtId="43" fontId="0" fillId="0" borderId="10" xfId="1" applyNumberFormat="1" applyFont="1" applyBorder="1"/>
    <xf numFmtId="43" fontId="2" fillId="0" borderId="8" xfId="1" applyNumberFormat="1" applyFont="1" applyBorder="1"/>
    <xf numFmtId="43" fontId="2" fillId="0" borderId="3" xfId="1" applyNumberFormat="1" applyFont="1" applyBorder="1"/>
    <xf numFmtId="43" fontId="0" fillId="0" borderId="0" xfId="1" applyNumberFormat="1" applyFont="1" applyBorder="1" applyAlignment="1">
      <alignment horizontal="center" vertical="center"/>
    </xf>
    <xf numFmtId="43" fontId="0" fillId="0" borderId="14" xfId="1" applyNumberFormat="1" applyFont="1" applyBorder="1"/>
    <xf numFmtId="43" fontId="2" fillId="0" borderId="13" xfId="1" applyNumberFormat="1" applyFont="1" applyBorder="1"/>
    <xf numFmtId="43" fontId="0" fillId="0" borderId="15" xfId="1" applyNumberFormat="1" applyFont="1" applyBorder="1"/>
    <xf numFmtId="43" fontId="0" fillId="0" borderId="14" xfId="1" applyNumberFormat="1" applyFont="1" applyBorder="1" applyAlignment="1">
      <alignment horizontal="center" vertical="center"/>
    </xf>
    <xf numFmtId="43" fontId="0" fillId="0" borderId="20" xfId="1" applyNumberFormat="1" applyFont="1" applyBorder="1"/>
    <xf numFmtId="43" fontId="0" fillId="0" borderId="21" xfId="1" applyNumberFormat="1" applyFont="1" applyBorder="1"/>
    <xf numFmtId="43" fontId="2" fillId="0" borderId="18" xfId="1" applyNumberFormat="1" applyFont="1" applyBorder="1"/>
    <xf numFmtId="43" fontId="2" fillId="0" borderId="19" xfId="1" applyNumberFormat="1" applyFont="1" applyBorder="1"/>
    <xf numFmtId="43" fontId="0" fillId="0" borderId="22" xfId="1" applyNumberFormat="1" applyFont="1" applyBorder="1"/>
    <xf numFmtId="43" fontId="0" fillId="0" borderId="23" xfId="1" applyNumberFormat="1" applyFont="1" applyBorder="1"/>
    <xf numFmtId="43" fontId="0" fillId="0" borderId="27" xfId="1" applyNumberFormat="1" applyFont="1" applyBorder="1" applyAlignment="1">
      <alignment horizontal="center" vertical="center"/>
    </xf>
    <xf numFmtId="43" fontId="0" fillId="0" borderId="28" xfId="1" applyNumberFormat="1" applyFont="1" applyBorder="1"/>
    <xf numFmtId="43" fontId="2" fillId="0" borderId="27" xfId="1" applyNumberFormat="1" applyFont="1" applyBorder="1"/>
    <xf numFmtId="43" fontId="0" fillId="0" borderId="29" xfId="1" applyNumberFormat="1" applyFont="1" applyBorder="1"/>
    <xf numFmtId="164" fontId="2" fillId="0" borderId="6" xfId="1" applyNumberFormat="1" applyFont="1" applyBorder="1" applyAlignment="1">
      <alignment horizontal="center"/>
    </xf>
    <xf numFmtId="164" fontId="0" fillId="0" borderId="6" xfId="1" applyNumberFormat="1" applyFont="1" applyBorder="1" applyAlignment="1"/>
    <xf numFmtId="0" fontId="0" fillId="0" borderId="6" xfId="1" applyNumberFormat="1" applyFont="1" applyBorder="1" applyAlignment="1">
      <alignment horizontal="center"/>
    </xf>
    <xf numFmtId="0" fontId="0" fillId="0" borderId="6" xfId="0" applyBorder="1" applyAlignment="1">
      <alignment horizontal="center"/>
    </xf>
    <xf numFmtId="43" fontId="0" fillId="0" borderId="6" xfId="1" applyNumberFormat="1" applyFont="1" applyFill="1" applyBorder="1"/>
    <xf numFmtId="43" fontId="0" fillId="0" borderId="10" xfId="1" applyNumberFormat="1" applyFont="1" applyFill="1" applyBorder="1"/>
    <xf numFmtId="43" fontId="0" fillId="0" borderId="31" xfId="1" applyNumberFormat="1" applyFont="1" applyBorder="1"/>
    <xf numFmtId="43" fontId="0" fillId="0" borderId="30" xfId="1" applyNumberFormat="1" applyFont="1" applyBorder="1"/>
    <xf numFmtId="43" fontId="0" fillId="0" borderId="32" xfId="1" applyNumberFormat="1" applyFont="1" applyBorder="1"/>
    <xf numFmtId="43" fontId="0" fillId="0" borderId="33" xfId="1" applyNumberFormat="1" applyFont="1" applyBorder="1"/>
    <xf numFmtId="43" fontId="0" fillId="0" borderId="34" xfId="1" applyNumberFormat="1" applyFont="1" applyBorder="1"/>
    <xf numFmtId="0" fontId="0" fillId="0" borderId="36" xfId="0" applyBorder="1" applyAlignment="1">
      <alignment horizontal="center"/>
    </xf>
    <xf numFmtId="164" fontId="2" fillId="0" borderId="36" xfId="1" applyNumberFormat="1" applyFont="1" applyBorder="1" applyAlignment="1">
      <alignment horizontal="center"/>
    </xf>
    <xf numFmtId="43" fontId="0" fillId="0" borderId="37" xfId="1" applyNumberFormat="1" applyFont="1" applyBorder="1"/>
    <xf numFmtId="43" fontId="0" fillId="0" borderId="36" xfId="1" applyNumberFormat="1" applyFont="1" applyBorder="1"/>
    <xf numFmtId="43" fontId="0" fillId="0" borderId="38" xfId="1" applyNumberFormat="1" applyFont="1" applyBorder="1"/>
    <xf numFmtId="43" fontId="0" fillId="0" borderId="39" xfId="1" applyNumberFormat="1" applyFont="1" applyBorder="1"/>
    <xf numFmtId="43" fontId="0" fillId="0" borderId="40" xfId="1" applyNumberFormat="1" applyFont="1" applyBorder="1"/>
    <xf numFmtId="43" fontId="0" fillId="0" borderId="41" xfId="1" applyNumberFormat="1" applyFont="1" applyBorder="1"/>
    <xf numFmtId="0" fontId="0" fillId="0" borderId="5" xfId="0" applyBorder="1" applyAlignment="1">
      <alignment horizontal="center"/>
    </xf>
    <xf numFmtId="0" fontId="0" fillId="0" borderId="30" xfId="1" applyNumberFormat="1" applyFont="1" applyBorder="1" applyAlignment="1">
      <alignment horizontal="center"/>
    </xf>
    <xf numFmtId="164" fontId="0" fillId="0" borderId="30" xfId="1" applyNumberFormat="1" applyFont="1" applyBorder="1"/>
    <xf numFmtId="0" fontId="0" fillId="0" borderId="5" xfId="1" applyNumberFormat="1" applyFont="1" applyBorder="1" applyAlignment="1">
      <alignment horizontal="center"/>
    </xf>
    <xf numFmtId="43" fontId="1" fillId="0" borderId="12" xfId="1" applyNumberFormat="1" applyFont="1" applyBorder="1"/>
    <xf numFmtId="43" fontId="1" fillId="0" borderId="5" xfId="1" applyNumberFormat="1" applyFont="1" applyBorder="1"/>
    <xf numFmtId="43" fontId="1" fillId="0" borderId="4" xfId="1" applyNumberFormat="1" applyFont="1" applyBorder="1"/>
    <xf numFmtId="43" fontId="1" fillId="0" borderId="42" xfId="1" applyNumberFormat="1" applyFont="1" applyBorder="1"/>
    <xf numFmtId="43" fontId="1" fillId="0" borderId="16" xfId="1" applyNumberFormat="1" applyFont="1" applyBorder="1"/>
    <xf numFmtId="43" fontId="1" fillId="0" borderId="17" xfId="1" applyNumberFormat="1" applyFont="1" applyBorder="1"/>
    <xf numFmtId="0" fontId="0" fillId="0" borderId="0" xfId="0" applyBorder="1" applyAlignment="1">
      <alignment horizontal="center"/>
    </xf>
    <xf numFmtId="164" fontId="0" fillId="0" borderId="0" xfId="1" applyNumberFormat="1" applyFont="1" applyBorder="1" applyAlignment="1"/>
    <xf numFmtId="43" fontId="0" fillId="0" borderId="15" xfId="1" applyNumberFormat="1" applyFont="1" applyFill="1" applyBorder="1"/>
    <xf numFmtId="164" fontId="0" fillId="0" borderId="5" xfId="1" applyNumberFormat="1" applyFont="1" applyBorder="1" applyAlignment="1">
      <alignment horizontal="right"/>
    </xf>
    <xf numFmtId="43" fontId="0" fillId="0" borderId="23" xfId="1" applyNumberFormat="1" applyFont="1" applyFill="1" applyBorder="1"/>
    <xf numFmtId="43" fontId="0" fillId="0" borderId="35" xfId="1" applyNumberFormat="1" applyFont="1" applyFill="1" applyBorder="1"/>
    <xf numFmtId="43" fontId="0" fillId="0" borderId="0" xfId="1" applyNumberFormat="1" applyFont="1" applyFill="1"/>
    <xf numFmtId="43" fontId="0" fillId="0" borderId="29" xfId="1" applyNumberFormat="1" applyFont="1" applyFill="1" applyBorder="1"/>
    <xf numFmtId="43" fontId="0" fillId="0" borderId="22" xfId="1" applyNumberFormat="1" applyFont="1" applyFill="1" applyBorder="1"/>
    <xf numFmtId="43" fontId="1" fillId="0" borderId="11" xfId="1" applyNumberFormat="1" applyFont="1" applyBorder="1"/>
    <xf numFmtId="43" fontId="1" fillId="0" borderId="2" xfId="1" applyNumberFormat="1" applyFont="1" applyBorder="1"/>
    <xf numFmtId="43" fontId="1" fillId="0" borderId="7" xfId="1" applyNumberFormat="1" applyFont="1" applyBorder="1"/>
    <xf numFmtId="43" fontId="1" fillId="0" borderId="26" xfId="1" applyNumberFormat="1" applyFont="1" applyBorder="1"/>
    <xf numFmtId="43" fontId="1" fillId="0" borderId="24" xfId="1" applyNumberFormat="1" applyFont="1" applyBorder="1"/>
    <xf numFmtId="43" fontId="1" fillId="0" borderId="25" xfId="1" applyNumberFormat="1" applyFont="1" applyBorder="1"/>
    <xf numFmtId="164" fontId="1" fillId="0" borderId="0" xfId="1" applyNumberFormat="1" applyFont="1" applyAlignment="1">
      <alignment horizontal="right"/>
    </xf>
    <xf numFmtId="164" fontId="2" fillId="0" borderId="5" xfId="1" applyNumberFormat="1" applyFont="1" applyBorder="1" applyAlignment="1">
      <alignment horizontal="right"/>
    </xf>
    <xf numFmtId="43" fontId="2" fillId="0" borderId="12" xfId="1" applyNumberFormat="1" applyFont="1" applyBorder="1"/>
    <xf numFmtId="43" fontId="2" fillId="0" borderId="5" xfId="1" applyNumberFormat="1" applyFont="1" applyBorder="1"/>
    <xf numFmtId="43" fontId="2" fillId="0" borderId="4" xfId="1" applyNumberFormat="1" applyFont="1" applyBorder="1"/>
    <xf numFmtId="43" fontId="2" fillId="0" borderId="42" xfId="1" applyNumberFormat="1" applyFont="1" applyBorder="1"/>
    <xf numFmtId="43" fontId="2" fillId="0" borderId="16" xfId="1" applyNumberFormat="1" applyFont="1" applyBorder="1"/>
    <xf numFmtId="43" fontId="2" fillId="0" borderId="17" xfId="1" applyNumberFormat="1" applyFont="1" applyBorder="1"/>
    <xf numFmtId="43" fontId="0" fillId="0" borderId="14" xfId="1" applyNumberFormat="1" applyFont="1" applyFill="1" applyBorder="1"/>
    <xf numFmtId="43" fontId="0" fillId="0" borderId="0" xfId="1" applyNumberFormat="1" applyFont="1" applyFill="1" applyBorder="1"/>
    <xf numFmtId="43" fontId="0" fillId="0" borderId="28" xfId="1" applyNumberFormat="1" applyFont="1" applyFill="1" applyBorder="1"/>
    <xf numFmtId="43" fontId="0" fillId="0" borderId="20" xfId="1" applyNumberFormat="1" applyFont="1" applyFill="1" applyBorder="1"/>
    <xf numFmtId="43" fontId="0" fillId="0" borderId="9" xfId="1" applyNumberFormat="1" applyFont="1" applyFill="1" applyBorder="1"/>
    <xf numFmtId="43" fontId="0" fillId="0" borderId="21" xfId="1" applyNumberFormat="1" applyFont="1" applyFill="1" applyBorder="1"/>
    <xf numFmtId="164" fontId="4" fillId="0" borderId="6" xfId="1" applyNumberFormat="1" applyFont="1" applyBorder="1" applyAlignment="1">
      <alignment horizontal="center"/>
    </xf>
    <xf numFmtId="164" fontId="4" fillId="0" borderId="30" xfId="1" applyNumberFormat="1" applyFont="1" applyBorder="1" applyAlignment="1">
      <alignment horizontal="center"/>
    </xf>
    <xf numFmtId="0" fontId="0" fillId="0" borderId="6" xfId="1" applyNumberFormat="1" applyFont="1" applyBorder="1" applyAlignment="1"/>
    <xf numFmtId="0" fontId="0" fillId="0" borderId="0" xfId="1" applyNumberFormat="1" applyFont="1" applyBorder="1" applyAlignment="1"/>
    <xf numFmtId="0" fontId="0" fillId="0" borderId="0" xfId="1" applyNumberFormat="1" applyFont="1" applyAlignment="1">
      <alignment horizontal="left"/>
    </xf>
    <xf numFmtId="43" fontId="0" fillId="0" borderId="9" xfId="1" applyNumberFormat="1" applyFont="1" applyBorder="1" applyAlignment="1">
      <alignment horizontal="center" vertical="center"/>
    </xf>
    <xf numFmtId="43" fontId="0" fillId="0" borderId="28" xfId="1" applyNumberFormat="1" applyFont="1" applyBorder="1" applyAlignment="1">
      <alignment horizontal="center" vertical="center"/>
    </xf>
    <xf numFmtId="43" fontId="4" fillId="4" borderId="43" xfId="1" applyNumberFormat="1" applyFont="1" applyFill="1" applyBorder="1" applyAlignment="1">
      <alignment horizontal="center"/>
    </xf>
    <xf numFmtId="43" fontId="4" fillId="4" borderId="44" xfId="1" applyNumberFormat="1" applyFont="1" applyFill="1" applyBorder="1" applyAlignment="1">
      <alignment horizontal="center"/>
    </xf>
    <xf numFmtId="43" fontId="4" fillId="4" borderId="20" xfId="1" applyNumberFormat="1" applyFont="1" applyFill="1" applyBorder="1" applyAlignment="1">
      <alignment horizontal="center"/>
    </xf>
    <xf numFmtId="43" fontId="4" fillId="4" borderId="14" xfId="1" applyNumberFormat="1" applyFont="1" applyFill="1" applyBorder="1" applyAlignment="1">
      <alignment horizontal="center"/>
    </xf>
    <xf numFmtId="43" fontId="0" fillId="0" borderId="31" xfId="1" applyNumberFormat="1" applyFont="1" applyFill="1" applyBorder="1"/>
    <xf numFmtId="43" fontId="0" fillId="0" borderId="30" xfId="1" applyNumberFormat="1" applyFont="1" applyFill="1" applyBorder="1"/>
    <xf numFmtId="43" fontId="0" fillId="0" borderId="32" xfId="1" applyNumberFormat="1" applyFont="1" applyFill="1" applyBorder="1"/>
    <xf numFmtId="43" fontId="3" fillId="0" borderId="0" xfId="1" applyNumberFormat="1" applyFont="1"/>
    <xf numFmtId="0" fontId="0" fillId="0" borderId="30" xfId="1" applyNumberFormat="1" applyFont="1" applyFill="1" applyBorder="1"/>
    <xf numFmtId="0" fontId="0" fillId="0" borderId="6" xfId="1" applyNumberFormat="1" applyFont="1" applyFill="1" applyBorder="1" applyAlignment="1"/>
    <xf numFmtId="0" fontId="0" fillId="0" borderId="6" xfId="1" applyNumberFormat="1" applyFont="1" applyFill="1" applyBorder="1"/>
    <xf numFmtId="0" fontId="4" fillId="0" borderId="6" xfId="1" applyNumberFormat="1" applyFont="1" applyFill="1" applyBorder="1" applyAlignment="1">
      <alignment horizontal="center"/>
    </xf>
    <xf numFmtId="0" fontId="4" fillId="0" borderId="30" xfId="1" applyNumberFormat="1" applyFont="1" applyFill="1" applyBorder="1" applyAlignment="1">
      <alignment horizontal="center"/>
    </xf>
    <xf numFmtId="0" fontId="0" fillId="6" borderId="30" xfId="1" applyNumberFormat="1" applyFont="1" applyFill="1" applyBorder="1" applyAlignment="1">
      <alignment horizontal="center"/>
    </xf>
    <xf numFmtId="164" fontId="0" fillId="6" borderId="30" xfId="1" applyNumberFormat="1" applyFont="1" applyFill="1" applyBorder="1"/>
    <xf numFmtId="164" fontId="4" fillId="6" borderId="30" xfId="1" applyNumberFormat="1" applyFont="1" applyFill="1" applyBorder="1" applyAlignment="1">
      <alignment horizontal="center"/>
    </xf>
    <xf numFmtId="43" fontId="0" fillId="6" borderId="31" xfId="1" applyNumberFormat="1" applyFont="1" applyFill="1" applyBorder="1"/>
    <xf numFmtId="43" fontId="0" fillId="6" borderId="30" xfId="1" applyNumberFormat="1" applyFont="1" applyFill="1" applyBorder="1"/>
    <xf numFmtId="43" fontId="0" fillId="6" borderId="32" xfId="1" applyNumberFormat="1" applyFont="1" applyFill="1" applyBorder="1"/>
    <xf numFmtId="43" fontId="0" fillId="6" borderId="33" xfId="1" applyNumberFormat="1" applyFont="1" applyFill="1" applyBorder="1"/>
    <xf numFmtId="43" fontId="0" fillId="6" borderId="34" xfId="1" applyNumberFormat="1" applyFont="1" applyFill="1" applyBorder="1"/>
    <xf numFmtId="43" fontId="0" fillId="6" borderId="35" xfId="1" applyNumberFormat="1" applyFont="1" applyFill="1" applyBorder="1"/>
    <xf numFmtId="43" fontId="0" fillId="0" borderId="6" xfId="1" applyFont="1" applyBorder="1" applyAlignment="1"/>
    <xf numFmtId="43" fontId="0" fillId="0" borderId="20" xfId="1" applyNumberFormat="1" applyFont="1" applyBorder="1" applyAlignment="1">
      <alignment horizontal="center" vertical="center"/>
    </xf>
    <xf numFmtId="43" fontId="0" fillId="0" borderId="21" xfId="1" applyNumberFormat="1" applyFont="1" applyBorder="1" applyAlignment="1">
      <alignment horizontal="center" vertical="center"/>
    </xf>
    <xf numFmtId="43" fontId="0" fillId="0" borderId="0" xfId="1" applyNumberFormat="1" applyFont="1" applyAlignment="1">
      <alignment horizontal="center"/>
    </xf>
    <xf numFmtId="0" fontId="8" fillId="0" borderId="0" xfId="0" applyFont="1" applyAlignment="1">
      <alignment horizontal="center"/>
    </xf>
    <xf numFmtId="164" fontId="8" fillId="0" borderId="0" xfId="1" applyNumberFormat="1" applyFont="1" applyAlignment="1">
      <alignment horizontal="center"/>
    </xf>
    <xf numFmtId="43" fontId="9" fillId="4" borderId="16" xfId="1" applyNumberFormat="1" applyFont="1" applyFill="1" applyBorder="1" applyAlignment="1">
      <alignment horizontal="center"/>
    </xf>
    <xf numFmtId="43" fontId="9" fillId="4" borderId="12" xfId="1" applyNumberFormat="1" applyFont="1" applyFill="1" applyBorder="1" applyAlignment="1">
      <alignment horizontal="center"/>
    </xf>
    <xf numFmtId="0" fontId="4" fillId="0" borderId="0" xfId="0" applyFont="1" applyAlignment="1">
      <alignment horizontal="center"/>
    </xf>
    <xf numFmtId="164" fontId="4" fillId="0" borderId="0" xfId="1" applyNumberFormat="1" applyFont="1" applyAlignment="1">
      <alignment horizontal="center"/>
    </xf>
    <xf numFmtId="43" fontId="4" fillId="0" borderId="0" xfId="1" applyNumberFormat="1" applyFont="1" applyAlignment="1">
      <alignment horizontal="center"/>
    </xf>
    <xf numFmtId="43" fontId="0" fillId="0" borderId="33" xfId="1" applyNumberFormat="1" applyFont="1" applyFill="1" applyBorder="1"/>
    <xf numFmtId="0" fontId="0" fillId="0" borderId="6" xfId="0" applyFill="1" applyBorder="1" applyAlignment="1">
      <alignment horizontal="center"/>
    </xf>
    <xf numFmtId="164" fontId="0" fillId="0" borderId="6" xfId="1" applyNumberFormat="1" applyFont="1" applyFill="1" applyBorder="1" applyAlignment="1"/>
    <xf numFmtId="164" fontId="0" fillId="0" borderId="0" xfId="1" applyNumberFormat="1" applyFont="1" applyFill="1"/>
    <xf numFmtId="43" fontId="0" fillId="0" borderId="47" xfId="1" applyNumberFormat="1" applyFont="1" applyBorder="1" applyAlignment="1">
      <alignment horizontal="center" vertical="center"/>
    </xf>
    <xf numFmtId="43" fontId="0" fillId="0" borderId="48" xfId="1" applyNumberFormat="1" applyFont="1" applyBorder="1"/>
    <xf numFmtId="43" fontId="2" fillId="0" borderId="47" xfId="1" applyNumberFormat="1" applyFont="1" applyBorder="1"/>
    <xf numFmtId="43" fontId="0" fillId="0" borderId="49" xfId="1" applyNumberFormat="1" applyFont="1" applyBorder="1"/>
    <xf numFmtId="43" fontId="0" fillId="0" borderId="49" xfId="1" applyNumberFormat="1" applyFont="1" applyFill="1" applyBorder="1"/>
    <xf numFmtId="43" fontId="0" fillId="0" borderId="48" xfId="1" applyNumberFormat="1" applyFont="1" applyFill="1" applyBorder="1"/>
    <xf numFmtId="43" fontId="2" fillId="0" borderId="50" xfId="1" applyNumberFormat="1" applyFont="1" applyBorder="1"/>
    <xf numFmtId="43" fontId="0" fillId="0" borderId="51" xfId="1" applyNumberFormat="1" applyFont="1" applyBorder="1"/>
    <xf numFmtId="43" fontId="1" fillId="0" borderId="50" xfId="1" applyNumberFormat="1" applyFont="1" applyBorder="1"/>
    <xf numFmtId="43" fontId="0" fillId="0" borderId="52" xfId="1" applyNumberFormat="1" applyFont="1" applyFill="1" applyBorder="1"/>
    <xf numFmtId="43" fontId="0" fillId="6" borderId="52" xfId="1" applyNumberFormat="1" applyFont="1" applyFill="1" applyBorder="1"/>
    <xf numFmtId="43" fontId="0" fillId="0" borderId="52" xfId="1" applyNumberFormat="1" applyFont="1" applyBorder="1"/>
    <xf numFmtId="43" fontId="1" fillId="0" borderId="46" xfId="1" applyNumberFormat="1" applyFont="1" applyBorder="1"/>
    <xf numFmtId="43" fontId="0" fillId="0" borderId="53" xfId="1" applyNumberFormat="1" applyFont="1" applyBorder="1" applyAlignment="1">
      <alignment horizontal="center" vertical="center"/>
    </xf>
    <xf numFmtId="43" fontId="0" fillId="0" borderId="53" xfId="1" applyNumberFormat="1" applyFont="1" applyBorder="1"/>
    <xf numFmtId="43" fontId="0" fillId="0" borderId="54" xfId="1" applyNumberFormat="1" applyFont="1" applyBorder="1"/>
    <xf numFmtId="43" fontId="0" fillId="0" borderId="54" xfId="1" applyNumberFormat="1" applyFont="1" applyFill="1" applyBorder="1"/>
    <xf numFmtId="43" fontId="0" fillId="0" borderId="53" xfId="1" applyNumberFormat="1" applyFont="1" applyFill="1" applyBorder="1"/>
    <xf numFmtId="43" fontId="0" fillId="0" borderId="55" xfId="1" applyNumberFormat="1" applyFont="1" applyBorder="1"/>
    <xf numFmtId="43" fontId="0" fillId="0" borderId="56" xfId="1" applyNumberFormat="1" applyFont="1" applyFill="1" applyBorder="1"/>
    <xf numFmtId="43" fontId="0" fillId="6" borderId="56" xfId="1" applyNumberFormat="1" applyFont="1" applyFill="1" applyBorder="1"/>
    <xf numFmtId="43" fontId="0" fillId="0" borderId="56" xfId="1" applyNumberFormat="1" applyFont="1" applyBorder="1"/>
    <xf numFmtId="43" fontId="0" fillId="0" borderId="57" xfId="1" applyNumberFormat="1" applyFont="1" applyBorder="1" applyAlignment="1">
      <alignment horizontal="center" vertical="center"/>
    </xf>
    <xf numFmtId="43" fontId="0" fillId="0" borderId="3" xfId="1" applyNumberFormat="1" applyFont="1" applyBorder="1"/>
    <xf numFmtId="43" fontId="0" fillId="0" borderId="0" xfId="1" applyNumberFormat="1" applyFont="1" applyFill="1" applyAlignment="1">
      <alignment horizontal="center"/>
    </xf>
    <xf numFmtId="43" fontId="0" fillId="5" borderId="0" xfId="1" applyNumberFormat="1" applyFont="1" applyFill="1"/>
    <xf numFmtId="0" fontId="0" fillId="0" borderId="6" xfId="1" applyNumberFormat="1" applyFont="1" applyFill="1" applyBorder="1" applyAlignment="1">
      <alignment horizontal="center"/>
    </xf>
    <xf numFmtId="164" fontId="4" fillId="0" borderId="6" xfId="1" applyNumberFormat="1" applyFont="1" applyFill="1" applyBorder="1" applyAlignment="1">
      <alignment horizontal="center"/>
    </xf>
    <xf numFmtId="0" fontId="0" fillId="0" borderId="30" xfId="1" applyNumberFormat="1" applyFont="1" applyFill="1" applyBorder="1" applyAlignment="1">
      <alignment horizontal="center"/>
    </xf>
    <xf numFmtId="164" fontId="4" fillId="0" borderId="30" xfId="1" applyNumberFormat="1" applyFont="1" applyFill="1" applyBorder="1" applyAlignment="1">
      <alignment horizontal="center"/>
    </xf>
    <xf numFmtId="43" fontId="0" fillId="0" borderId="34" xfId="1" applyNumberFormat="1" applyFont="1" applyFill="1" applyBorder="1"/>
    <xf numFmtId="0" fontId="2" fillId="0" borderId="0" xfId="1" applyNumberFormat="1" applyFont="1" applyAlignment="1">
      <alignment horizontal="center"/>
    </xf>
    <xf numFmtId="0" fontId="12" fillId="0" borderId="0" xfId="1" applyNumberFormat="1" applyFont="1" applyAlignment="1">
      <alignment horizontal="center"/>
    </xf>
    <xf numFmtId="0" fontId="2" fillId="0" borderId="0" xfId="1" applyNumberFormat="1" applyFont="1" applyFill="1" applyAlignment="1">
      <alignment horizontal="center"/>
    </xf>
    <xf numFmtId="0" fontId="0" fillId="0" borderId="0" xfId="0" applyAlignment="1" applyProtection="1">
      <alignment horizontal="center"/>
      <protection locked="0"/>
    </xf>
    <xf numFmtId="0" fontId="0" fillId="0" borderId="0" xfId="0" applyProtection="1">
      <protection locked="0"/>
    </xf>
    <xf numFmtId="0" fontId="2" fillId="0" borderId="0" xfId="0" applyNumberFormat="1" applyFont="1" applyBorder="1" applyAlignment="1" applyProtection="1">
      <alignment horizontal="center"/>
      <protection locked="0"/>
    </xf>
    <xf numFmtId="0" fontId="0" fillId="0" borderId="0" xfId="0" applyAlignment="1" applyProtection="1">
      <alignment horizontal="right"/>
      <protection locked="0"/>
    </xf>
    <xf numFmtId="0" fontId="2" fillId="7" borderId="0" xfId="0" applyNumberFormat="1" applyFont="1" applyFill="1" applyBorder="1" applyAlignment="1" applyProtection="1">
      <alignment horizontal="center"/>
    </xf>
    <xf numFmtId="0" fontId="0" fillId="7" borderId="0" xfId="0" applyFill="1" applyProtection="1"/>
    <xf numFmtId="43" fontId="0" fillId="0" borderId="22" xfId="1" applyNumberFormat="1" applyFont="1" applyBorder="1" applyProtection="1"/>
    <xf numFmtId="43" fontId="0" fillId="0" borderId="54" xfId="1" applyNumberFormat="1" applyFont="1" applyBorder="1" applyProtection="1"/>
    <xf numFmtId="43" fontId="0" fillId="0" borderId="34" xfId="1" applyNumberFormat="1" applyFont="1" applyBorder="1" applyProtection="1"/>
    <xf numFmtId="43" fontId="0" fillId="0" borderId="56" xfId="1" applyNumberFormat="1" applyFont="1" applyBorder="1" applyProtection="1"/>
    <xf numFmtId="43" fontId="0" fillId="0" borderId="0" xfId="1" applyFont="1" applyProtection="1">
      <protection locked="0"/>
    </xf>
    <xf numFmtId="43" fontId="0" fillId="0" borderId="0" xfId="0" applyNumberFormat="1" applyProtection="1">
      <protection locked="0"/>
    </xf>
    <xf numFmtId="43" fontId="0" fillId="7" borderId="22" xfId="1" applyNumberFormat="1" applyFont="1" applyFill="1" applyBorder="1" applyProtection="1"/>
    <xf numFmtId="43" fontId="0" fillId="7" borderId="54" xfId="1" applyNumberFormat="1" applyFont="1" applyFill="1" applyBorder="1" applyProtection="1"/>
    <xf numFmtId="43" fontId="0" fillId="0" borderId="29" xfId="1" applyNumberFormat="1" applyFont="1" applyBorder="1" applyProtection="1"/>
    <xf numFmtId="43" fontId="0" fillId="0" borderId="33" xfId="1" applyNumberFormat="1" applyFont="1" applyBorder="1" applyProtection="1"/>
    <xf numFmtId="43" fontId="0" fillId="7" borderId="29" xfId="1" applyNumberFormat="1" applyFont="1" applyFill="1" applyBorder="1" applyProtection="1"/>
    <xf numFmtId="0" fontId="0" fillId="7" borderId="0" xfId="0" applyFill="1" applyAlignment="1" applyProtection="1">
      <alignment horizontal="center"/>
      <protection locked="0"/>
    </xf>
    <xf numFmtId="0" fontId="0" fillId="7" borderId="0" xfId="0" applyFill="1" applyAlignment="1" applyProtection="1">
      <alignment horizontal="right"/>
    </xf>
    <xf numFmtId="43" fontId="15" fillId="7" borderId="7" xfId="0" applyNumberFormat="1" applyFont="1" applyFill="1" applyBorder="1" applyProtection="1"/>
    <xf numFmtId="43" fontId="15" fillId="7" borderId="26" xfId="0" applyNumberFormat="1" applyFont="1" applyFill="1" applyBorder="1" applyProtection="1"/>
    <xf numFmtId="0" fontId="14" fillId="2" borderId="38"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0" fillId="0" borderId="0" xfId="0" applyBorder="1" applyProtection="1">
      <protection locked="0"/>
    </xf>
    <xf numFmtId="43" fontId="0" fillId="0" borderId="0" xfId="1" applyFont="1" applyBorder="1" applyProtection="1">
      <protection locked="0"/>
    </xf>
    <xf numFmtId="43" fontId="0" fillId="0" borderId="0" xfId="0" applyNumberFormat="1" applyBorder="1" applyProtection="1">
      <protection locked="0"/>
    </xf>
    <xf numFmtId="0" fontId="14" fillId="2" borderId="51" xfId="0" applyFont="1" applyFill="1" applyBorder="1" applyAlignment="1" applyProtection="1">
      <alignment horizontal="center" vertical="center"/>
      <protection locked="0"/>
    </xf>
    <xf numFmtId="43" fontId="15" fillId="7" borderId="46" xfId="0" applyNumberFormat="1" applyFont="1" applyFill="1" applyBorder="1" applyProtection="1"/>
    <xf numFmtId="0" fontId="14" fillId="4" borderId="40" xfId="0" applyFont="1" applyFill="1" applyBorder="1" applyAlignment="1" applyProtection="1">
      <alignment horizontal="center" vertical="center"/>
      <protection locked="0"/>
    </xf>
    <xf numFmtId="43" fontId="15" fillId="7" borderId="24" xfId="0" applyNumberFormat="1" applyFont="1" applyFill="1" applyBorder="1" applyProtection="1"/>
    <xf numFmtId="0" fontId="14" fillId="3" borderId="40" xfId="0" applyFont="1" applyFill="1" applyBorder="1" applyAlignment="1" applyProtection="1">
      <alignment horizontal="center" vertical="center"/>
      <protection locked="0"/>
    </xf>
    <xf numFmtId="0" fontId="14" fillId="3" borderId="39" xfId="0"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0" xfId="0" applyFont="1"/>
    <xf numFmtId="0" fontId="4" fillId="4" borderId="44" xfId="0" applyFont="1" applyFill="1" applyBorder="1" applyAlignment="1" applyProtection="1">
      <alignment horizontal="center"/>
      <protection locked="0"/>
    </xf>
    <xf numFmtId="43" fontId="0" fillId="0" borderId="58" xfId="1" applyNumberFormat="1" applyFont="1" applyBorder="1"/>
    <xf numFmtId="0" fontId="0" fillId="0" borderId="0" xfId="0" applyFill="1" applyAlignment="1">
      <alignment horizontal="center"/>
    </xf>
    <xf numFmtId="0" fontId="14" fillId="2" borderId="0" xfId="0" applyFont="1" applyFill="1" applyBorder="1" applyAlignment="1" applyProtection="1">
      <alignment horizontal="center" vertical="center"/>
      <protection locked="0"/>
    </xf>
    <xf numFmtId="0" fontId="0" fillId="0" borderId="0" xfId="0" applyAlignment="1" applyProtection="1">
      <alignment horizontal="left"/>
      <protection locked="0"/>
    </xf>
    <xf numFmtId="0" fontId="13" fillId="4" borderId="18"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Border="1" applyProtection="1">
      <protection locked="0"/>
    </xf>
    <xf numFmtId="0" fontId="8" fillId="0" borderId="0" xfId="0" applyFont="1" applyProtection="1">
      <protection locked="0"/>
    </xf>
    <xf numFmtId="0" fontId="8" fillId="0" borderId="0" xfId="0" applyFont="1"/>
    <xf numFmtId="43" fontId="0" fillId="0" borderId="15" xfId="1" applyFont="1" applyFill="1" applyBorder="1"/>
    <xf numFmtId="0" fontId="0" fillId="0" borderId="30" xfId="1" applyNumberFormat="1" applyFont="1" applyFill="1" applyBorder="1" applyAlignment="1"/>
    <xf numFmtId="164" fontId="4" fillId="0" borderId="0" xfId="1" applyNumberFormat="1" applyFont="1"/>
    <xf numFmtId="164" fontId="0" fillId="0" borderId="0" xfId="1" applyNumberFormat="1" applyFont="1" applyFill="1" applyBorder="1" applyAlignment="1"/>
    <xf numFmtId="164" fontId="4" fillId="0" borderId="0" xfId="1" applyNumberFormat="1" applyFont="1" applyFill="1" applyBorder="1" applyAlignment="1">
      <alignment horizontal="center"/>
    </xf>
    <xf numFmtId="164" fontId="0" fillId="0" borderId="0" xfId="1" applyNumberFormat="1" applyFont="1" applyFill="1" applyBorder="1" applyAlignment="1">
      <alignment horizontal="center"/>
    </xf>
    <xf numFmtId="164" fontId="0" fillId="0" borderId="5" xfId="1" applyNumberFormat="1" applyFont="1" applyFill="1" applyBorder="1" applyAlignment="1">
      <alignment horizontal="right"/>
    </xf>
    <xf numFmtId="43" fontId="1" fillId="0" borderId="12" xfId="1" applyNumberFormat="1" applyFont="1" applyFill="1" applyBorder="1"/>
    <xf numFmtId="164" fontId="2" fillId="0" borderId="6" xfId="1" applyNumberFormat="1" applyFont="1" applyFill="1" applyBorder="1" applyAlignment="1">
      <alignment horizontal="center"/>
    </xf>
    <xf numFmtId="0" fontId="9" fillId="0" borderId="0" xfId="0" applyFont="1" applyAlignment="1" applyProtection="1">
      <alignment horizontal="left"/>
      <protection locked="0"/>
    </xf>
    <xf numFmtId="0" fontId="17" fillId="0" borderId="0" xfId="0" applyFont="1" applyAlignment="1" applyProtection="1">
      <alignment horizontal="left"/>
      <protection locked="0"/>
    </xf>
    <xf numFmtId="43" fontId="4" fillId="0" borderId="0" xfId="1" applyFont="1" applyAlignment="1">
      <alignment horizontal="center"/>
    </xf>
    <xf numFmtId="164" fontId="4" fillId="0" borderId="0" xfId="1" applyNumberFormat="1" applyFont="1" applyAlignment="1">
      <alignment horizontal="left"/>
    </xf>
    <xf numFmtId="0" fontId="0" fillId="0" borderId="0" xfId="1" applyNumberFormat="1" applyFont="1" applyBorder="1" applyAlignment="1">
      <alignment horizontal="center"/>
    </xf>
    <xf numFmtId="164" fontId="2" fillId="0" borderId="5" xfId="1" applyNumberFormat="1" applyFont="1" applyBorder="1" applyAlignment="1">
      <alignment horizontal="center"/>
    </xf>
    <xf numFmtId="164" fontId="0" fillId="0" borderId="5" xfId="1" applyNumberFormat="1" applyFont="1" applyFill="1" applyBorder="1" applyAlignment="1">
      <alignment horizontal="center"/>
    </xf>
    <xf numFmtId="164" fontId="0" fillId="0" borderId="6" xfId="1" applyNumberFormat="1" applyFont="1" applyFill="1" applyBorder="1" applyAlignment="1">
      <alignment horizontal="center"/>
    </xf>
    <xf numFmtId="0" fontId="3" fillId="0" borderId="6" xfId="1" applyNumberFormat="1" applyFont="1" applyFill="1" applyBorder="1" applyAlignment="1">
      <alignment horizontal="center"/>
    </xf>
    <xf numFmtId="164" fontId="0" fillId="6" borderId="30" xfId="1" applyNumberFormat="1" applyFont="1" applyFill="1" applyBorder="1" applyAlignment="1">
      <alignment horizontal="center"/>
    </xf>
    <xf numFmtId="164" fontId="0" fillId="0" borderId="30" xfId="1" applyNumberFormat="1" applyFont="1" applyBorder="1" applyAlignment="1">
      <alignment horizontal="center"/>
    </xf>
    <xf numFmtId="164" fontId="0" fillId="0" borderId="5" xfId="1" applyNumberFormat="1" applyFont="1" applyBorder="1" applyAlignment="1">
      <alignment horizontal="center"/>
    </xf>
    <xf numFmtId="164" fontId="0" fillId="0" borderId="6" xfId="1" applyNumberFormat="1" applyFont="1" applyBorder="1" applyAlignment="1">
      <alignment horizontal="center"/>
    </xf>
    <xf numFmtId="164" fontId="1" fillId="0" borderId="0" xfId="1" applyNumberFormat="1" applyFont="1" applyAlignment="1">
      <alignment horizontal="center"/>
    </xf>
    <xf numFmtId="0" fontId="0" fillId="0" borderId="0" xfId="1" applyNumberFormat="1" applyFont="1" applyAlignment="1">
      <alignment horizontal="center"/>
    </xf>
    <xf numFmtId="164" fontId="18" fillId="0" borderId="6" xfId="1" applyNumberFormat="1" applyFont="1" applyFill="1" applyBorder="1" applyAlignment="1">
      <alignment horizontal="center"/>
    </xf>
    <xf numFmtId="0" fontId="0" fillId="0" borderId="0" xfId="0" applyFill="1" applyAlignment="1">
      <alignment horizontal="left"/>
    </xf>
    <xf numFmtId="43" fontId="4" fillId="0" borderId="0" xfId="1" applyFont="1" applyAlignment="1">
      <alignment horizontal="right"/>
    </xf>
    <xf numFmtId="43" fontId="0" fillId="0" borderId="0" xfId="1" applyFont="1" applyAlignment="1">
      <alignment horizontal="right"/>
    </xf>
    <xf numFmtId="43" fontId="8" fillId="0" borderId="0" xfId="1" applyFont="1" applyAlignment="1">
      <alignment horizontal="right"/>
    </xf>
    <xf numFmtId="0" fontId="1" fillId="0" borderId="6" xfId="1" applyNumberFormat="1" applyFont="1" applyFill="1" applyBorder="1" applyAlignment="1">
      <alignment horizontal="center"/>
    </xf>
    <xf numFmtId="0" fontId="1" fillId="0" borderId="30" xfId="1" applyNumberFormat="1" applyFont="1" applyFill="1" applyBorder="1" applyAlignment="1">
      <alignment horizontal="center"/>
    </xf>
    <xf numFmtId="0" fontId="19" fillId="0" borderId="0" xfId="0" applyFont="1"/>
    <xf numFmtId="0" fontId="19" fillId="0" borderId="0" xfId="0" applyFont="1" applyAlignment="1">
      <alignment horizontal="center"/>
    </xf>
    <xf numFmtId="9" fontId="20" fillId="0" borderId="0" xfId="0" applyNumberFormat="1" applyFont="1" applyAlignment="1">
      <alignment horizontal="center"/>
    </xf>
    <xf numFmtId="9" fontId="19" fillId="0" borderId="53" xfId="2" applyFont="1" applyBorder="1" applyAlignment="1">
      <alignment horizontal="center"/>
    </xf>
    <xf numFmtId="9" fontId="19" fillId="0" borderId="0" xfId="0" applyNumberFormat="1" applyFont="1" applyAlignment="1">
      <alignment horizontal="center"/>
    </xf>
    <xf numFmtId="9" fontId="19" fillId="0" borderId="59" xfId="0" applyNumberFormat="1" applyFont="1" applyBorder="1" applyAlignment="1">
      <alignment horizontal="center"/>
    </xf>
    <xf numFmtId="9" fontId="19" fillId="0" borderId="60" xfId="0" applyNumberFormat="1" applyFont="1" applyBorder="1" applyAlignment="1">
      <alignment horizontal="center"/>
    </xf>
    <xf numFmtId="9" fontId="19" fillId="0" borderId="61" xfId="2" applyFont="1" applyBorder="1" applyAlignment="1">
      <alignment horizontal="center"/>
    </xf>
    <xf numFmtId="0" fontId="19" fillId="8" borderId="0" xfId="0" applyFont="1" applyFill="1" applyAlignment="1">
      <alignment horizontal="center"/>
    </xf>
    <xf numFmtId="9" fontId="19" fillId="0" borderId="62" xfId="0" applyNumberFormat="1" applyFont="1" applyBorder="1" applyAlignment="1">
      <alignment horizontal="center"/>
    </xf>
    <xf numFmtId="9" fontId="19" fillId="0" borderId="61" xfId="2" applyFont="1" applyFill="1" applyBorder="1" applyAlignment="1">
      <alignment horizontal="center"/>
    </xf>
    <xf numFmtId="0" fontId="19" fillId="3" borderId="0" xfId="0" applyFont="1" applyFill="1" applyAlignment="1">
      <alignment horizontal="center"/>
    </xf>
    <xf numFmtId="0" fontId="19" fillId="9" borderId="0" xfId="0" applyFont="1" applyFill="1" applyAlignment="1">
      <alignment horizontal="center"/>
    </xf>
    <xf numFmtId="0" fontId="19" fillId="4" borderId="0" xfId="0" applyFont="1" applyFill="1" applyAlignment="1">
      <alignment horizontal="center"/>
    </xf>
    <xf numFmtId="0" fontId="21" fillId="0" borderId="0" xfId="0" applyFont="1" applyAlignment="1">
      <alignment horizontal="center"/>
    </xf>
    <xf numFmtId="0" fontId="15" fillId="0" borderId="0" xfId="0" applyFont="1" applyAlignment="1">
      <alignment horizontal="center"/>
    </xf>
    <xf numFmtId="0" fontId="22" fillId="0" borderId="0" xfId="0" applyFont="1"/>
    <xf numFmtId="0" fontId="23" fillId="0" borderId="0" xfId="0" applyFont="1" applyAlignment="1">
      <alignment horizontal="center"/>
    </xf>
    <xf numFmtId="0" fontId="19" fillId="10" borderId="0" xfId="0" applyFont="1" applyFill="1" applyAlignment="1">
      <alignment horizontal="center"/>
    </xf>
    <xf numFmtId="0" fontId="19" fillId="11" borderId="0" xfId="0" applyFont="1" applyFill="1" applyAlignment="1">
      <alignment horizontal="center"/>
    </xf>
    <xf numFmtId="0" fontId="19" fillId="12" borderId="0" xfId="0" applyFont="1" applyFill="1" applyAlignment="1">
      <alignment horizontal="center"/>
    </xf>
    <xf numFmtId="0" fontId="7" fillId="0" borderId="0" xfId="0" applyFont="1"/>
    <xf numFmtId="0" fontId="9" fillId="0" borderId="0" xfId="0" applyFont="1" applyAlignment="1" applyProtection="1">
      <alignment horizontal="left"/>
      <protection locked="0"/>
    </xf>
    <xf numFmtId="0" fontId="6" fillId="0" borderId="30" xfId="1" applyNumberFormat="1" applyFont="1" applyFill="1" applyBorder="1"/>
    <xf numFmtId="0" fontId="19" fillId="8" borderId="0" xfId="0" applyFont="1" applyFill="1"/>
    <xf numFmtId="43" fontId="5" fillId="4" borderId="14" xfId="1" applyNumberFormat="1" applyFont="1" applyFill="1" applyBorder="1" applyAlignment="1">
      <alignment horizontal="center"/>
    </xf>
    <xf numFmtId="14" fontId="0" fillId="0" borderId="0" xfId="0" applyNumberFormat="1" applyAlignment="1" applyProtection="1">
      <alignment horizontal="left"/>
      <protection locked="0"/>
    </xf>
    <xf numFmtId="0" fontId="14" fillId="13" borderId="40" xfId="0" applyFont="1" applyFill="1" applyBorder="1" applyAlignment="1" applyProtection="1">
      <alignment horizontal="center" vertical="center"/>
      <protection locked="0"/>
    </xf>
    <xf numFmtId="0" fontId="14" fillId="13" borderId="39" xfId="0" applyFont="1" applyFill="1" applyBorder="1" applyAlignment="1" applyProtection="1">
      <alignment horizontal="center" vertical="center"/>
      <protection locked="0"/>
    </xf>
    <xf numFmtId="43" fontId="25" fillId="0" borderId="0" xfId="1" applyNumberFormat="1" applyFont="1" applyAlignment="1">
      <alignment horizontal="center"/>
    </xf>
    <xf numFmtId="43" fontId="25" fillId="0" borderId="0" xfId="1" applyNumberFormat="1" applyFont="1"/>
    <xf numFmtId="0" fontId="25" fillId="0" borderId="0" xfId="0" applyFont="1" applyBorder="1" applyProtection="1">
      <protection locked="0"/>
    </xf>
    <xf numFmtId="43" fontId="19" fillId="0" borderId="62" xfId="1" applyFont="1" applyFill="1" applyBorder="1" applyAlignment="1">
      <alignment horizontal="center"/>
    </xf>
    <xf numFmtId="43" fontId="0" fillId="0" borderId="31" xfId="1" applyFont="1" applyFill="1" applyBorder="1"/>
    <xf numFmtId="43" fontId="19" fillId="0" borderId="62" xfId="1" applyFont="1" applyBorder="1" applyAlignment="1">
      <alignment horizontal="center"/>
    </xf>
    <xf numFmtId="9" fontId="19" fillId="0" borderId="62" xfId="2" applyFont="1" applyFill="1" applyBorder="1" applyAlignment="1">
      <alignment horizontal="center"/>
    </xf>
    <xf numFmtId="43" fontId="0" fillId="0" borderId="0" xfId="1" applyFont="1" applyFill="1"/>
    <xf numFmtId="43" fontId="0" fillId="0" borderId="0" xfId="1" applyFont="1"/>
    <xf numFmtId="0" fontId="6" fillId="0" borderId="30" xfId="1" applyNumberFormat="1" applyFont="1" applyFill="1" applyBorder="1" applyAlignment="1">
      <alignment horizontal="center"/>
    </xf>
    <xf numFmtId="0" fontId="5" fillId="0" borderId="30" xfId="1" applyNumberFormat="1" applyFont="1" applyFill="1" applyBorder="1" applyAlignment="1">
      <alignment horizontal="center"/>
    </xf>
    <xf numFmtId="164" fontId="5" fillId="0" borderId="30" xfId="1" applyNumberFormat="1" applyFont="1" applyFill="1" applyBorder="1" applyAlignment="1">
      <alignment horizontal="center"/>
    </xf>
    <xf numFmtId="43" fontId="6" fillId="0" borderId="30" xfId="1" applyNumberFormat="1" applyFont="1" applyFill="1" applyBorder="1"/>
    <xf numFmtId="43" fontId="6" fillId="0" borderId="32" xfId="1" applyNumberFormat="1" applyFont="1" applyFill="1" applyBorder="1"/>
    <xf numFmtId="43" fontId="6" fillId="0" borderId="33" xfId="1" applyNumberFormat="1" applyFont="1" applyFill="1" applyBorder="1"/>
    <xf numFmtId="43" fontId="6" fillId="0" borderId="35" xfId="1" applyNumberFormat="1" applyFont="1" applyFill="1" applyBorder="1"/>
    <xf numFmtId="43" fontId="6" fillId="0" borderId="49" xfId="1" applyNumberFormat="1" applyFont="1" applyFill="1" applyBorder="1"/>
    <xf numFmtId="43" fontId="6" fillId="0" borderId="10" xfId="1" applyNumberFormat="1" applyFont="1" applyFill="1" applyBorder="1"/>
    <xf numFmtId="43" fontId="6" fillId="0" borderId="54" xfId="1" applyNumberFormat="1" applyFont="1" applyFill="1" applyBorder="1"/>
    <xf numFmtId="164" fontId="6" fillId="0" borderId="0" xfId="1" applyNumberFormat="1" applyFont="1" applyFill="1"/>
    <xf numFmtId="164" fontId="4" fillId="0" borderId="21" xfId="1" applyNumberFormat="1" applyFont="1" applyBorder="1" applyAlignment="1">
      <alignment horizontal="center"/>
    </xf>
    <xf numFmtId="0" fontId="4" fillId="0" borderId="21" xfId="1" applyNumberFormat="1" applyFont="1" applyBorder="1" applyAlignment="1">
      <alignment horizontal="center"/>
    </xf>
    <xf numFmtId="43" fontId="5" fillId="4" borderId="20" xfId="1" applyNumberFormat="1" applyFont="1" applyFill="1" applyBorder="1" applyAlignment="1">
      <alignment horizontal="center"/>
    </xf>
    <xf numFmtId="0" fontId="0" fillId="0" borderId="6" xfId="0" applyFill="1" applyBorder="1" applyAlignment="1">
      <alignment horizontal="left"/>
    </xf>
    <xf numFmtId="43" fontId="0" fillId="0" borderId="0" xfId="1" applyNumberFormat="1" applyFont="1" applyAlignment="1">
      <alignment horizontal="right"/>
    </xf>
    <xf numFmtId="0" fontId="6" fillId="0" borderId="30" xfId="1" applyNumberFormat="1" applyFont="1" applyFill="1" applyBorder="1" applyAlignment="1"/>
    <xf numFmtId="164" fontId="5" fillId="0" borderId="6" xfId="1" applyNumberFormat="1" applyFont="1" applyFill="1" applyBorder="1" applyAlignment="1">
      <alignment horizontal="center"/>
    </xf>
    <xf numFmtId="0" fontId="19" fillId="0" borderId="30" xfId="1" applyNumberFormat="1" applyFont="1" applyFill="1" applyBorder="1" applyAlignment="1">
      <alignment horizontal="center"/>
    </xf>
    <xf numFmtId="0" fontId="19" fillId="0" borderId="30" xfId="1" applyNumberFormat="1" applyFont="1" applyFill="1" applyBorder="1"/>
    <xf numFmtId="0" fontId="19" fillId="0" borderId="30" xfId="1" applyNumberFormat="1" applyFont="1" applyFill="1" applyBorder="1" applyAlignment="1"/>
    <xf numFmtId="0" fontId="18" fillId="0" borderId="30" xfId="1" applyNumberFormat="1" applyFont="1" applyFill="1" applyBorder="1" applyAlignment="1">
      <alignment horizontal="center"/>
    </xf>
    <xf numFmtId="164" fontId="18" fillId="0" borderId="30" xfId="1" applyNumberFormat="1" applyFont="1" applyFill="1" applyBorder="1" applyAlignment="1">
      <alignment horizontal="center"/>
    </xf>
    <xf numFmtId="43" fontId="19" fillId="0" borderId="31" xfId="1" applyFont="1" applyFill="1" applyBorder="1"/>
    <xf numFmtId="43" fontId="19" fillId="0" borderId="30" xfId="1" applyNumberFormat="1" applyFont="1" applyFill="1" applyBorder="1"/>
    <xf numFmtId="43" fontId="19" fillId="0" borderId="32" xfId="1" applyNumberFormat="1" applyFont="1" applyFill="1" applyBorder="1"/>
    <xf numFmtId="43" fontId="19" fillId="0" borderId="34" xfId="1" applyNumberFormat="1" applyFont="1" applyFill="1" applyBorder="1"/>
    <xf numFmtId="43" fontId="19" fillId="0" borderId="35" xfId="1" applyNumberFormat="1" applyFont="1" applyFill="1" applyBorder="1"/>
    <xf numFmtId="43" fontId="19" fillId="0" borderId="31" xfId="1" applyNumberFormat="1" applyFont="1" applyFill="1" applyBorder="1"/>
    <xf numFmtId="43" fontId="19" fillId="0" borderId="33" xfId="1" applyNumberFormat="1" applyFont="1" applyFill="1" applyBorder="1"/>
    <xf numFmtId="43" fontId="19" fillId="0" borderId="52" xfId="1" applyNumberFormat="1" applyFont="1" applyFill="1" applyBorder="1"/>
    <xf numFmtId="43" fontId="19" fillId="0" borderId="56" xfId="1" applyNumberFormat="1" applyFont="1" applyFill="1" applyBorder="1"/>
    <xf numFmtId="164" fontId="19" fillId="0" borderId="0" xfId="1" applyNumberFormat="1" applyFont="1" applyFill="1"/>
    <xf numFmtId="43" fontId="0" fillId="0" borderId="10" xfId="1" applyNumberFormat="1" applyFont="1" applyBorder="1" applyProtection="1"/>
    <xf numFmtId="43" fontId="0" fillId="14" borderId="10" xfId="1" applyNumberFormat="1" applyFont="1" applyFill="1" applyBorder="1" applyProtection="1"/>
    <xf numFmtId="43" fontId="0" fillId="0" borderId="32" xfId="1" applyNumberFormat="1" applyFont="1" applyBorder="1" applyProtection="1"/>
    <xf numFmtId="43" fontId="6" fillId="0" borderId="15" xfId="1" applyNumberFormat="1" applyFont="1" applyFill="1" applyBorder="1"/>
    <xf numFmtId="164" fontId="3" fillId="0" borderId="0" xfId="1" applyNumberFormat="1" applyFont="1" applyAlignment="1">
      <alignment horizontal="center"/>
    </xf>
    <xf numFmtId="164" fontId="17" fillId="0" borderId="0" xfId="1" applyNumberFormat="1" applyFont="1" applyAlignment="1">
      <alignment horizontal="center"/>
    </xf>
    <xf numFmtId="0" fontId="26" fillId="0" borderId="0" xfId="0" applyFont="1" applyAlignment="1">
      <alignment horizontal="center"/>
    </xf>
    <xf numFmtId="164" fontId="26" fillId="0" borderId="0" xfId="1" applyNumberFormat="1" applyFont="1" applyAlignment="1">
      <alignment horizontal="center"/>
    </xf>
    <xf numFmtId="43" fontId="26" fillId="0" borderId="0" xfId="1" applyFont="1" applyAlignment="1">
      <alignment horizontal="center"/>
    </xf>
    <xf numFmtId="164" fontId="12" fillId="0" borderId="6" xfId="1" applyNumberFormat="1" applyFont="1" applyBorder="1" applyAlignment="1">
      <alignment horizontal="center"/>
    </xf>
    <xf numFmtId="0" fontId="3" fillId="0" borderId="6" xfId="1" applyNumberFormat="1" applyFont="1" applyBorder="1" applyAlignment="1">
      <alignment horizontal="center"/>
    </xf>
    <xf numFmtId="0" fontId="3" fillId="0" borderId="0" xfId="1" applyNumberFormat="1" applyFont="1" applyBorder="1" applyAlignment="1">
      <alignment horizontal="center"/>
    </xf>
    <xf numFmtId="164" fontId="12" fillId="0" borderId="5" xfId="1" applyNumberFormat="1" applyFont="1" applyBorder="1" applyAlignment="1">
      <alignment horizontal="center"/>
    </xf>
    <xf numFmtId="164" fontId="12" fillId="0" borderId="36" xfId="1" applyNumberFormat="1" applyFont="1" applyBorder="1" applyAlignment="1">
      <alignment horizontal="center"/>
    </xf>
    <xf numFmtId="0" fontId="3" fillId="0" borderId="30" xfId="1" applyNumberFormat="1" applyFont="1" applyFill="1" applyBorder="1" applyAlignment="1">
      <alignment horizontal="center"/>
    </xf>
    <xf numFmtId="0" fontId="27" fillId="0" borderId="30" xfId="1" applyNumberFormat="1" applyFont="1" applyFill="1" applyBorder="1" applyAlignment="1">
      <alignment horizontal="center"/>
    </xf>
    <xf numFmtId="164" fontId="3" fillId="0" borderId="0" xfId="1" applyNumberFormat="1" applyFont="1" applyFill="1" applyBorder="1" applyAlignment="1">
      <alignment horizontal="center"/>
    </xf>
    <xf numFmtId="164" fontId="3" fillId="0" borderId="5" xfId="1" applyNumberFormat="1" applyFont="1" applyFill="1" applyBorder="1" applyAlignment="1">
      <alignment horizontal="center"/>
    </xf>
    <xf numFmtId="164" fontId="3" fillId="0" borderId="6" xfId="1" applyNumberFormat="1" applyFont="1" applyFill="1" applyBorder="1" applyAlignment="1">
      <alignment horizontal="center"/>
    </xf>
    <xf numFmtId="0" fontId="7" fillId="0" borderId="30" xfId="1" applyNumberFormat="1" applyFont="1" applyFill="1" applyBorder="1" applyAlignment="1">
      <alignment horizontal="center"/>
    </xf>
    <xf numFmtId="164" fontId="3" fillId="6" borderId="30" xfId="1" applyNumberFormat="1" applyFont="1" applyFill="1" applyBorder="1" applyAlignment="1">
      <alignment horizontal="center"/>
    </xf>
    <xf numFmtId="164" fontId="3" fillId="0" borderId="30"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12" fillId="0" borderId="0" xfId="1" applyNumberFormat="1" applyFont="1" applyAlignment="1">
      <alignment horizontal="center"/>
    </xf>
    <xf numFmtId="0" fontId="3" fillId="0" borderId="0" xfId="1" applyNumberFormat="1" applyFont="1" applyAlignment="1">
      <alignment horizontal="center"/>
    </xf>
    <xf numFmtId="43" fontId="6" fillId="0" borderId="6" xfId="1" applyNumberFormat="1" applyFont="1" applyFill="1" applyBorder="1"/>
    <xf numFmtId="43" fontId="6" fillId="0" borderId="22" xfId="1" applyNumberFormat="1" applyFont="1" applyFill="1" applyBorder="1"/>
    <xf numFmtId="43" fontId="6" fillId="0" borderId="29" xfId="1" applyNumberFormat="1" applyFont="1" applyFill="1" applyBorder="1"/>
    <xf numFmtId="0" fontId="3" fillId="0" borderId="30" xfId="1" quotePrefix="1" applyNumberFormat="1" applyFont="1" applyFill="1" applyBorder="1" applyAlignment="1">
      <alignment horizontal="center"/>
    </xf>
    <xf numFmtId="0" fontId="3" fillId="0" borderId="6" xfId="1" quotePrefix="1" applyNumberFormat="1" applyFont="1" applyFill="1" applyBorder="1" applyAlignment="1">
      <alignment horizontal="center"/>
    </xf>
    <xf numFmtId="43" fontId="6" fillId="0" borderId="15" xfId="1" applyFont="1" applyFill="1" applyBorder="1"/>
    <xf numFmtId="0" fontId="1" fillId="0" borderId="30" xfId="1" applyNumberFormat="1" applyFont="1" applyFill="1" applyBorder="1"/>
    <xf numFmtId="0" fontId="1" fillId="0" borderId="30" xfId="1" applyNumberFormat="1" applyFont="1" applyFill="1" applyBorder="1" applyAlignment="1"/>
    <xf numFmtId="43" fontId="1" fillId="0" borderId="15" xfId="1" applyNumberFormat="1" applyFont="1" applyFill="1" applyBorder="1"/>
    <xf numFmtId="43" fontId="1" fillId="0" borderId="6" xfId="1" applyNumberFormat="1" applyFont="1" applyFill="1" applyBorder="1"/>
    <xf numFmtId="43" fontId="1" fillId="0" borderId="10" xfId="1" applyNumberFormat="1" applyFont="1" applyFill="1" applyBorder="1"/>
    <xf numFmtId="43" fontId="1" fillId="0" borderId="22" xfId="1" applyNumberFormat="1" applyFont="1" applyFill="1" applyBorder="1"/>
    <xf numFmtId="43" fontId="1" fillId="0" borderId="35" xfId="1" applyNumberFormat="1" applyFont="1" applyFill="1" applyBorder="1"/>
    <xf numFmtId="43" fontId="1" fillId="0" borderId="29" xfId="1" applyNumberFormat="1" applyFont="1" applyFill="1" applyBorder="1"/>
    <xf numFmtId="43" fontId="1" fillId="0" borderId="49" xfId="1" applyNumberFormat="1" applyFont="1" applyFill="1" applyBorder="1"/>
    <xf numFmtId="43" fontId="1" fillId="0" borderId="54" xfId="1" applyNumberFormat="1" applyFont="1" applyFill="1" applyBorder="1"/>
    <xf numFmtId="164" fontId="1" fillId="0" borderId="0" xfId="1" applyNumberFormat="1" applyFont="1" applyFill="1"/>
    <xf numFmtId="43" fontId="1" fillId="0" borderId="15" xfId="1" applyFont="1" applyFill="1" applyBorder="1"/>
    <xf numFmtId="0" fontId="1" fillId="0" borderId="6" xfId="1" applyNumberFormat="1" applyFont="1" applyFill="1" applyBorder="1"/>
    <xf numFmtId="43" fontId="1" fillId="0" borderId="23" xfId="1" applyNumberFormat="1" applyFont="1" applyFill="1" applyBorder="1"/>
    <xf numFmtId="43" fontId="19" fillId="0" borderId="15" xfId="1" applyFont="1" applyFill="1" applyBorder="1"/>
    <xf numFmtId="43" fontId="19" fillId="0" borderId="6" xfId="1" applyNumberFormat="1" applyFont="1" applyFill="1" applyBorder="1"/>
    <xf numFmtId="43" fontId="19" fillId="0" borderId="10" xfId="1" applyNumberFormat="1" applyFont="1" applyFill="1" applyBorder="1"/>
    <xf numFmtId="43" fontId="19" fillId="0" borderId="22" xfId="1" applyNumberFormat="1" applyFont="1" applyFill="1" applyBorder="1"/>
    <xf numFmtId="43" fontId="19" fillId="0" borderId="15" xfId="1" applyNumberFormat="1" applyFont="1" applyFill="1" applyBorder="1"/>
    <xf numFmtId="43" fontId="19" fillId="0" borderId="29" xfId="1" applyNumberFormat="1" applyFont="1" applyFill="1" applyBorder="1"/>
    <xf numFmtId="43" fontId="19" fillId="0" borderId="49" xfId="1" applyNumberFormat="1" applyFont="1" applyFill="1" applyBorder="1"/>
    <xf numFmtId="43" fontId="19" fillId="0" borderId="54" xfId="1" applyNumberFormat="1" applyFont="1" applyFill="1" applyBorder="1"/>
    <xf numFmtId="43" fontId="0" fillId="0" borderId="35" xfId="1" applyNumberFormat="1" applyFont="1" applyBorder="1"/>
    <xf numFmtId="43" fontId="6" fillId="0" borderId="52" xfId="1" applyNumberFormat="1" applyFont="1" applyFill="1" applyBorder="1"/>
    <xf numFmtId="43" fontId="6" fillId="0" borderId="56" xfId="1" applyNumberFormat="1" applyFont="1" applyFill="1" applyBorder="1"/>
    <xf numFmtId="43" fontId="6" fillId="0" borderId="0" xfId="1" applyNumberFormat="1" applyFont="1" applyFill="1"/>
    <xf numFmtId="0" fontId="19" fillId="0" borderId="6" xfId="1" applyNumberFormat="1" applyFont="1" applyFill="1" applyBorder="1" applyAlignment="1">
      <alignment horizontal="center"/>
    </xf>
    <xf numFmtId="0" fontId="19" fillId="0" borderId="6" xfId="1" applyNumberFormat="1" applyFont="1" applyFill="1" applyBorder="1"/>
    <xf numFmtId="0" fontId="19" fillId="0" borderId="6" xfId="1" applyNumberFormat="1" applyFont="1" applyFill="1" applyBorder="1" applyAlignment="1"/>
    <xf numFmtId="0" fontId="7" fillId="0" borderId="6" xfId="1" applyNumberFormat="1" applyFont="1" applyFill="1" applyBorder="1" applyAlignment="1">
      <alignment horizontal="center"/>
    </xf>
    <xf numFmtId="0" fontId="18" fillId="0" borderId="6" xfId="1" applyNumberFormat="1" applyFont="1" applyFill="1" applyBorder="1" applyAlignment="1">
      <alignment horizontal="center"/>
    </xf>
    <xf numFmtId="43" fontId="19" fillId="0" borderId="23" xfId="1" applyNumberFormat="1" applyFont="1" applyFill="1" applyBorder="1"/>
    <xf numFmtId="0" fontId="1" fillId="0" borderId="6" xfId="1" applyNumberFormat="1" applyFont="1" applyFill="1" applyBorder="1" applyAlignment="1"/>
    <xf numFmtId="43" fontId="1" fillId="0" borderId="30" xfId="1" applyNumberFormat="1" applyFont="1" applyFill="1" applyBorder="1"/>
    <xf numFmtId="43" fontId="1" fillId="0" borderId="33" xfId="1" applyNumberFormat="1" applyFont="1" applyFill="1" applyBorder="1"/>
    <xf numFmtId="0" fontId="19" fillId="10" borderId="0" xfId="0" applyFont="1" applyFill="1"/>
    <xf numFmtId="9" fontId="19" fillId="0" borderId="60" xfId="2" applyFont="1" applyFill="1" applyBorder="1" applyAlignment="1">
      <alignment horizontal="center"/>
    </xf>
    <xf numFmtId="9" fontId="19" fillId="0" borderId="59" xfId="2" applyFont="1" applyFill="1" applyBorder="1" applyAlignment="1">
      <alignment horizontal="center"/>
    </xf>
    <xf numFmtId="9" fontId="19" fillId="0" borderId="0" xfId="2" applyFont="1" applyFill="1" applyAlignment="1">
      <alignment horizontal="center"/>
    </xf>
    <xf numFmtId="0" fontId="20" fillId="0" borderId="0" xfId="0" applyFont="1"/>
    <xf numFmtId="9" fontId="19" fillId="0" borderId="60" xfId="2" applyFont="1" applyBorder="1" applyAlignment="1">
      <alignment horizontal="center"/>
    </xf>
    <xf numFmtId="9" fontId="19" fillId="0" borderId="59" xfId="2" applyFont="1" applyBorder="1" applyAlignment="1">
      <alignment horizontal="center"/>
    </xf>
    <xf numFmtId="9" fontId="19" fillId="0" borderId="0" xfId="2" applyFont="1" applyAlignment="1">
      <alignment horizontal="center"/>
    </xf>
    <xf numFmtId="0" fontId="19" fillId="12" borderId="0" xfId="0" applyFont="1" applyFill="1"/>
    <xf numFmtId="0" fontId="28" fillId="0" borderId="0" xfId="0" applyFont="1"/>
    <xf numFmtId="0" fontId="19" fillId="11" borderId="0" xfId="0" applyFont="1" applyFill="1"/>
    <xf numFmtId="9" fontId="19" fillId="0" borderId="53" xfId="2" applyFont="1" applyFill="1" applyBorder="1" applyAlignment="1">
      <alignment horizontal="center"/>
    </xf>
    <xf numFmtId="0" fontId="23" fillId="0" borderId="0" xfId="0" applyFont="1"/>
    <xf numFmtId="0" fontId="19" fillId="9" borderId="0" xfId="0" applyFont="1" applyFill="1"/>
    <xf numFmtId="0" fontId="24" fillId="0" borderId="0" xfId="0" applyFont="1"/>
    <xf numFmtId="0" fontId="19" fillId="0" borderId="53" xfId="0" applyFont="1" applyBorder="1"/>
    <xf numFmtId="0" fontId="19" fillId="3" borderId="0" xfId="0" applyFont="1" applyFill="1"/>
    <xf numFmtId="0" fontId="19" fillId="4" borderId="0" xfId="0" applyFont="1" applyFill="1"/>
    <xf numFmtId="43" fontId="0" fillId="0" borderId="0" xfId="1" applyNumberFormat="1" applyFont="1" applyFill="1" applyBorder="1" applyProtection="1"/>
    <xf numFmtId="43" fontId="0" fillId="0" borderId="0" xfId="0" applyNumberFormat="1"/>
    <xf numFmtId="0" fontId="0" fillId="0" borderId="0" xfId="0" applyFill="1" applyBorder="1" applyProtection="1">
      <protection locked="0"/>
    </xf>
    <xf numFmtId="0" fontId="2" fillId="0" borderId="0" xfId="0" applyFont="1" applyFill="1" applyBorder="1" applyProtection="1">
      <protection locked="0"/>
    </xf>
    <xf numFmtId="0" fontId="2" fillId="0" borderId="0" xfId="0" applyFont="1"/>
    <xf numFmtId="43" fontId="2" fillId="0" borderId="5" xfId="1" applyNumberFormat="1" applyFont="1" applyFill="1" applyBorder="1" applyProtection="1"/>
    <xf numFmtId="43" fontId="4" fillId="0" borderId="0" xfId="1" quotePrefix="1" applyFont="1" applyAlignment="1">
      <alignment horizontal="right"/>
    </xf>
    <xf numFmtId="43" fontId="6" fillId="0" borderId="31" xfId="1" applyNumberFormat="1" applyFont="1" applyFill="1" applyBorder="1"/>
    <xf numFmtId="43" fontId="6" fillId="0" borderId="34" xfId="1" applyNumberFormat="1" applyFont="1" applyFill="1" applyBorder="1"/>
    <xf numFmtId="0" fontId="19" fillId="0" borderId="6" xfId="0" applyFont="1" applyFill="1" applyBorder="1" applyAlignment="1">
      <alignment horizontal="center"/>
    </xf>
    <xf numFmtId="43" fontId="19" fillId="0" borderId="0" xfId="1" applyNumberFormat="1" applyFont="1" applyFill="1"/>
    <xf numFmtId="164" fontId="0" fillId="0" borderId="0" xfId="1" quotePrefix="1" applyNumberFormat="1" applyFont="1"/>
    <xf numFmtId="164" fontId="0" fillId="0" borderId="0" xfId="1" quotePrefix="1" applyNumberFormat="1" applyFont="1" applyFill="1"/>
    <xf numFmtId="43" fontId="6" fillId="0" borderId="31" xfId="1" applyFont="1" applyFill="1" applyBorder="1"/>
    <xf numFmtId="0" fontId="7" fillId="0" borderId="30" xfId="1" quotePrefix="1" applyNumberFormat="1" applyFont="1" applyFill="1" applyBorder="1" applyAlignment="1">
      <alignment horizontal="center"/>
    </xf>
    <xf numFmtId="0" fontId="6" fillId="0" borderId="6" xfId="1" applyNumberFormat="1" applyFont="1" applyFill="1" applyBorder="1" applyAlignment="1">
      <alignment horizontal="center"/>
    </xf>
    <xf numFmtId="0" fontId="6" fillId="0" borderId="6" xfId="1" applyNumberFormat="1" applyFont="1" applyFill="1" applyBorder="1"/>
    <xf numFmtId="0" fontId="6" fillId="0" borderId="6" xfId="1" applyNumberFormat="1" applyFont="1" applyFill="1" applyBorder="1" applyAlignment="1"/>
    <xf numFmtId="0" fontId="5" fillId="0" borderId="6" xfId="1" applyNumberFormat="1" applyFont="1" applyFill="1" applyBorder="1" applyAlignment="1">
      <alignment horizontal="center"/>
    </xf>
    <xf numFmtId="43" fontId="6" fillId="0" borderId="23" xfId="1" applyNumberFormat="1" applyFont="1" applyFill="1" applyBorder="1"/>
    <xf numFmtId="0" fontId="27" fillId="0" borderId="6" xfId="1" applyNumberFormat="1" applyFont="1" applyFill="1" applyBorder="1" applyAlignment="1">
      <alignment horizontal="center"/>
    </xf>
    <xf numFmtId="0" fontId="6" fillId="15" borderId="6" xfId="1" applyNumberFormat="1" applyFont="1" applyFill="1" applyBorder="1" applyAlignment="1">
      <alignment horizontal="center"/>
    </xf>
    <xf numFmtId="0" fontId="6" fillId="15" borderId="6" xfId="1" applyNumberFormat="1" applyFont="1" applyFill="1" applyBorder="1"/>
    <xf numFmtId="0" fontId="6" fillId="15" borderId="6" xfId="1" applyNumberFormat="1" applyFont="1" applyFill="1" applyBorder="1" applyAlignment="1"/>
    <xf numFmtId="0" fontId="27" fillId="15" borderId="6" xfId="1" applyNumberFormat="1" applyFont="1" applyFill="1" applyBorder="1" applyAlignment="1">
      <alignment horizontal="center"/>
    </xf>
    <xf numFmtId="0" fontId="5" fillId="15" borderId="6" xfId="1" applyNumberFormat="1" applyFont="1" applyFill="1" applyBorder="1" applyAlignment="1">
      <alignment horizontal="center"/>
    </xf>
    <xf numFmtId="164" fontId="5" fillId="15" borderId="6" xfId="1" applyNumberFormat="1" applyFont="1" applyFill="1" applyBorder="1" applyAlignment="1">
      <alignment horizontal="center"/>
    </xf>
    <xf numFmtId="43" fontId="6" fillId="15" borderId="15" xfId="1" applyFont="1" applyFill="1" applyBorder="1"/>
    <xf numFmtId="0" fontId="29" fillId="0" borderId="30" xfId="1" applyNumberFormat="1" applyFont="1" applyBorder="1" applyAlignment="1">
      <alignment horizontal="center"/>
    </xf>
    <xf numFmtId="0" fontId="29" fillId="0" borderId="30" xfId="1" applyNumberFormat="1" applyFont="1" applyFill="1" applyBorder="1"/>
    <xf numFmtId="0" fontId="29" fillId="0" borderId="30" xfId="1" applyNumberFormat="1" applyFont="1" applyFill="1" applyBorder="1" applyAlignment="1">
      <alignment horizontal="center"/>
    </xf>
    <xf numFmtId="0" fontId="30" fillId="0" borderId="30" xfId="1" applyNumberFormat="1" applyFont="1" applyFill="1" applyBorder="1" applyAlignment="1">
      <alignment horizontal="center"/>
    </xf>
    <xf numFmtId="0" fontId="31" fillId="0" borderId="30" xfId="1" applyNumberFormat="1" applyFont="1" applyFill="1" applyBorder="1" applyAlignment="1">
      <alignment horizontal="center"/>
    </xf>
    <xf numFmtId="164" fontId="31" fillId="0" borderId="30" xfId="1" applyNumberFormat="1" applyFont="1" applyBorder="1" applyAlignment="1">
      <alignment horizontal="center"/>
    </xf>
    <xf numFmtId="43" fontId="29" fillId="0" borderId="15" xfId="1" applyNumberFormat="1" applyFont="1" applyFill="1" applyBorder="1"/>
    <xf numFmtId="43" fontId="29" fillId="0" borderId="6" xfId="1" applyNumberFormat="1" applyFont="1" applyFill="1" applyBorder="1"/>
    <xf numFmtId="43" fontId="29" fillId="0" borderId="10" xfId="1" applyNumberFormat="1" applyFont="1" applyFill="1" applyBorder="1"/>
    <xf numFmtId="43" fontId="29" fillId="0" borderId="22" xfId="1" applyNumberFormat="1" applyFont="1" applyBorder="1"/>
    <xf numFmtId="43" fontId="29" fillId="0" borderId="10" xfId="1" applyNumberFormat="1" applyFont="1" applyBorder="1"/>
    <xf numFmtId="43" fontId="29" fillId="0" borderId="35" xfId="1" applyNumberFormat="1" applyFont="1" applyFill="1" applyBorder="1"/>
    <xf numFmtId="43" fontId="29" fillId="0" borderId="6" xfId="1" applyNumberFormat="1" applyFont="1" applyBorder="1"/>
    <xf numFmtId="43" fontId="29" fillId="0" borderId="29" xfId="1" applyNumberFormat="1" applyFont="1" applyBorder="1"/>
    <xf numFmtId="43" fontId="29" fillId="0" borderId="49" xfId="1" applyNumberFormat="1" applyFont="1" applyFill="1" applyBorder="1"/>
    <xf numFmtId="43" fontId="29" fillId="0" borderId="54" xfId="1" applyNumberFormat="1" applyFont="1" applyFill="1" applyBorder="1"/>
    <xf numFmtId="43" fontId="29" fillId="0" borderId="29" xfId="1" applyNumberFormat="1" applyFont="1" applyFill="1" applyBorder="1"/>
    <xf numFmtId="164" fontId="29" fillId="0" borderId="0" xfId="1" applyNumberFormat="1" applyFont="1"/>
    <xf numFmtId="0" fontId="29" fillId="0" borderId="6" xfId="1" applyNumberFormat="1" applyFont="1" applyFill="1" applyBorder="1"/>
    <xf numFmtId="0" fontId="31" fillId="0" borderId="6" xfId="1" applyNumberFormat="1" applyFont="1" applyFill="1" applyBorder="1" applyAlignment="1">
      <alignment horizontal="center"/>
    </xf>
    <xf numFmtId="43" fontId="29" fillId="0" borderId="31" xfId="1" applyNumberFormat="1" applyFont="1" applyFill="1" applyBorder="1"/>
    <xf numFmtId="43" fontId="29" fillId="0" borderId="30" xfId="1" applyNumberFormat="1" applyFont="1" applyFill="1" applyBorder="1"/>
    <xf numFmtId="43" fontId="29" fillId="0" borderId="32" xfId="1" applyNumberFormat="1" applyFont="1" applyFill="1" applyBorder="1"/>
    <xf numFmtId="43" fontId="29" fillId="0" borderId="34" xfId="1" applyNumberFormat="1" applyFont="1" applyBorder="1"/>
    <xf numFmtId="43" fontId="29" fillId="0" borderId="32" xfId="1" applyNumberFormat="1" applyFont="1" applyBorder="1"/>
    <xf numFmtId="43" fontId="29" fillId="0" borderId="30" xfId="1" applyNumberFormat="1" applyFont="1" applyBorder="1"/>
    <xf numFmtId="43" fontId="29" fillId="0" borderId="33" xfId="1" applyNumberFormat="1" applyFont="1" applyBorder="1"/>
    <xf numFmtId="43" fontId="29" fillId="0" borderId="52" xfId="1" applyNumberFormat="1" applyFont="1" applyFill="1" applyBorder="1"/>
    <xf numFmtId="43" fontId="29" fillId="0" borderId="56" xfId="1" applyNumberFormat="1" applyFont="1" applyFill="1" applyBorder="1"/>
    <xf numFmtId="43" fontId="29" fillId="0" borderId="33" xfId="1" applyNumberFormat="1" applyFont="1" applyFill="1" applyBorder="1"/>
    <xf numFmtId="164" fontId="31" fillId="0" borderId="30" xfId="1" applyNumberFormat="1" applyFont="1" applyFill="1" applyBorder="1" applyAlignment="1">
      <alignment horizontal="center"/>
    </xf>
    <xf numFmtId="43" fontId="29" fillId="0" borderId="34" xfId="1" applyNumberFormat="1" applyFont="1" applyFill="1" applyBorder="1"/>
    <xf numFmtId="164" fontId="29" fillId="0" borderId="0" xfId="1" applyNumberFormat="1" applyFont="1" applyFill="1"/>
    <xf numFmtId="0" fontId="29" fillId="0" borderId="6" xfId="1" applyNumberFormat="1" applyFont="1" applyBorder="1" applyAlignment="1">
      <alignment horizontal="center"/>
    </xf>
    <xf numFmtId="0" fontId="29" fillId="0" borderId="6" xfId="1" applyNumberFormat="1" applyFont="1" applyFill="1" applyBorder="1" applyAlignment="1">
      <alignment horizontal="center"/>
    </xf>
    <xf numFmtId="0" fontId="30" fillId="0" borderId="6" xfId="1" applyNumberFormat="1" applyFont="1" applyFill="1" applyBorder="1" applyAlignment="1">
      <alignment horizontal="center"/>
    </xf>
    <xf numFmtId="164" fontId="31" fillId="0" borderId="6" xfId="1" applyNumberFormat="1" applyFont="1" applyFill="1" applyBorder="1" applyAlignment="1">
      <alignment horizontal="center"/>
    </xf>
    <xf numFmtId="43" fontId="29" fillId="0" borderId="23" xfId="1" applyNumberFormat="1" applyFont="1" applyFill="1" applyBorder="1"/>
    <xf numFmtId="0" fontId="29" fillId="0" borderId="36" xfId="0" applyFont="1" applyFill="1" applyBorder="1" applyAlignment="1">
      <alignment horizontal="left"/>
    </xf>
    <xf numFmtId="0" fontId="29" fillId="0" borderId="30" xfId="1" applyNumberFormat="1" applyFont="1" applyFill="1" applyBorder="1" applyAlignment="1"/>
    <xf numFmtId="6" fontId="29" fillId="0" borderId="30" xfId="1" applyNumberFormat="1" applyFont="1" applyFill="1" applyBorder="1" applyAlignment="1">
      <alignment horizontal="center"/>
    </xf>
    <xf numFmtId="43" fontId="29" fillId="0" borderId="31" xfId="1" applyFont="1" applyFill="1" applyBorder="1"/>
    <xf numFmtId="0" fontId="29" fillId="0" borderId="6" xfId="0" applyFont="1" applyBorder="1" applyAlignment="1">
      <alignment horizontal="center"/>
    </xf>
    <xf numFmtId="0" fontId="29" fillId="0" borderId="6" xfId="1" applyNumberFormat="1" applyFont="1" applyFill="1" applyBorder="1" applyAlignment="1"/>
    <xf numFmtId="43" fontId="29" fillId="0" borderId="23" xfId="1" applyNumberFormat="1" applyFont="1" applyBorder="1"/>
    <xf numFmtId="43" fontId="29" fillId="0" borderId="15" xfId="1" applyNumberFormat="1" applyFont="1" applyBorder="1"/>
    <xf numFmtId="43" fontId="29" fillId="0" borderId="49" xfId="1" applyNumberFormat="1" applyFont="1" applyBorder="1"/>
    <xf numFmtId="43" fontId="29" fillId="0" borderId="54" xfId="1" applyNumberFormat="1" applyFont="1" applyBorder="1"/>
    <xf numFmtId="0" fontId="30" fillId="0" borderId="6" xfId="0" applyFont="1" applyBorder="1" applyAlignment="1">
      <alignment horizontal="center"/>
    </xf>
    <xf numFmtId="0" fontId="30" fillId="0" borderId="6" xfId="1" applyNumberFormat="1" applyFont="1" applyFill="1" applyBorder="1" applyAlignment="1"/>
    <xf numFmtId="43" fontId="30" fillId="0" borderId="29" xfId="1" applyNumberFormat="1" applyFont="1" applyBorder="1"/>
    <xf numFmtId="0" fontId="30" fillId="0" borderId="6" xfId="1" quotePrefix="1" applyNumberFormat="1" applyFont="1" applyFill="1" applyBorder="1" applyAlignment="1">
      <alignment horizontal="center"/>
    </xf>
    <xf numFmtId="43" fontId="29" fillId="0" borderId="22" xfId="1" applyNumberFormat="1" applyFont="1" applyFill="1" applyBorder="1"/>
    <xf numFmtId="0" fontId="29" fillId="0" borderId="30" xfId="0" applyFont="1" applyFill="1" applyBorder="1" applyAlignment="1">
      <alignment horizontal="center"/>
    </xf>
    <xf numFmtId="43" fontId="29" fillId="0" borderId="38" xfId="1" applyNumberFormat="1" applyFont="1" applyFill="1" applyBorder="1"/>
    <xf numFmtId="164" fontId="31" fillId="0" borderId="6" xfId="1" applyNumberFormat="1" applyFont="1" applyBorder="1" applyAlignment="1">
      <alignment horizontal="center"/>
    </xf>
    <xf numFmtId="43" fontId="29" fillId="0" borderId="15" xfId="1" applyFont="1" applyFill="1" applyBorder="1"/>
    <xf numFmtId="164" fontId="8" fillId="0" borderId="0" xfId="1" applyNumberFormat="1" applyFont="1" applyBorder="1" applyAlignment="1">
      <alignment horizontal="left"/>
    </xf>
    <xf numFmtId="164" fontId="8" fillId="0" borderId="0" xfId="1" applyNumberFormat="1" applyFont="1" applyBorder="1"/>
    <xf numFmtId="0" fontId="0" fillId="5" borderId="6" xfId="1" applyNumberFormat="1" applyFont="1" applyFill="1" applyBorder="1"/>
    <xf numFmtId="0" fontId="19" fillId="5" borderId="30" xfId="1" applyNumberFormat="1" applyFont="1" applyFill="1" applyBorder="1"/>
    <xf numFmtId="164" fontId="32" fillId="0" borderId="4" xfId="1" applyNumberFormat="1" applyFont="1" applyFill="1" applyBorder="1" applyAlignment="1">
      <alignment horizontal="center" vertical="top" wrapText="1"/>
    </xf>
    <xf numFmtId="0" fontId="0" fillId="0" borderId="0" xfId="0" applyFont="1"/>
    <xf numFmtId="164" fontId="33" fillId="0" borderId="4" xfId="1" applyNumberFormat="1" applyFont="1" applyFill="1" applyBorder="1" applyAlignment="1">
      <alignment horizontal="center" vertical="top" wrapText="1"/>
    </xf>
    <xf numFmtId="164" fontId="32" fillId="0" borderId="63" xfId="1" applyNumberFormat="1" applyFont="1" applyFill="1" applyBorder="1" applyAlignment="1">
      <alignment horizontal="left" vertical="top" wrapText="1"/>
    </xf>
    <xf numFmtId="164" fontId="33" fillId="0" borderId="63" xfId="1" applyNumberFormat="1" applyFont="1" applyFill="1" applyBorder="1" applyAlignment="1">
      <alignment horizontal="left" vertical="top" wrapText="1"/>
    </xf>
    <xf numFmtId="0" fontId="19" fillId="0" borderId="64" xfId="0" applyFont="1" applyBorder="1" applyAlignment="1">
      <alignment horizontal="center"/>
    </xf>
    <xf numFmtId="164" fontId="33" fillId="0" borderId="64" xfId="1" applyNumberFormat="1" applyFont="1" applyFill="1" applyBorder="1" applyAlignment="1">
      <alignment horizontal="center" vertical="top" wrapText="1"/>
    </xf>
    <xf numFmtId="164" fontId="32" fillId="0" borderId="64" xfId="1" applyNumberFormat="1" applyFont="1" applyFill="1" applyBorder="1" applyAlignment="1">
      <alignment horizontal="center" vertical="top" wrapText="1"/>
    </xf>
    <xf numFmtId="164" fontId="32" fillId="0" borderId="65" xfId="1" applyNumberFormat="1" applyFont="1" applyFill="1" applyBorder="1" applyAlignment="1">
      <alignment horizontal="left" vertical="top" wrapText="1"/>
    </xf>
    <xf numFmtId="164" fontId="32" fillId="0" borderId="8" xfId="1" applyNumberFormat="1" applyFont="1" applyFill="1" applyBorder="1" applyAlignment="1">
      <alignment horizontal="center" vertical="top" wrapText="1"/>
    </xf>
    <xf numFmtId="164" fontId="32" fillId="0" borderId="57" xfId="1" applyNumberFormat="1" applyFont="1" applyFill="1" applyBorder="1" applyAlignment="1">
      <alignment horizontal="center" vertical="top" wrapText="1"/>
    </xf>
    <xf numFmtId="164" fontId="32" fillId="0" borderId="63" xfId="1" applyNumberFormat="1" applyFont="1" applyFill="1" applyBorder="1" applyAlignment="1">
      <alignment horizontal="left" vertical="top"/>
    </xf>
    <xf numFmtId="164" fontId="32" fillId="0" borderId="4" xfId="1" applyNumberFormat="1" applyFont="1" applyFill="1" applyBorder="1" applyAlignment="1">
      <alignment horizontal="center" vertical="top"/>
    </xf>
    <xf numFmtId="164" fontId="32" fillId="0" borderId="64" xfId="1" applyNumberFormat="1" applyFont="1" applyFill="1" applyBorder="1" applyAlignment="1">
      <alignment horizontal="center" vertical="top"/>
    </xf>
    <xf numFmtId="164" fontId="13" fillId="16" borderId="4" xfId="3" applyNumberFormat="1" applyFont="1" applyBorder="1" applyAlignment="1">
      <alignment horizontal="center" vertical="center" wrapText="1"/>
    </xf>
    <xf numFmtId="164" fontId="13" fillId="16" borderId="4" xfId="3" applyNumberFormat="1" applyFont="1" applyBorder="1" applyAlignment="1">
      <alignment horizontal="center" vertical="center" wrapText="1"/>
    </xf>
    <xf numFmtId="164" fontId="2" fillId="0" borderId="0" xfId="1" applyNumberFormat="1" applyFont="1" applyAlignment="1">
      <alignment horizontal="left"/>
    </xf>
    <xf numFmtId="43" fontId="4" fillId="3" borderId="20" xfId="1" applyNumberFormat="1" applyFont="1" applyFill="1" applyBorder="1" applyAlignment="1">
      <alignment horizontal="center"/>
    </xf>
    <xf numFmtId="43" fontId="4" fillId="3" borderId="21" xfId="1" applyNumberFormat="1" applyFont="1" applyFill="1" applyBorder="1" applyAlignment="1">
      <alignment horizontal="center"/>
    </xf>
    <xf numFmtId="43" fontId="5" fillId="3" borderId="20" xfId="1" applyNumberFormat="1" applyFont="1" applyFill="1" applyBorder="1" applyAlignment="1">
      <alignment horizontal="center"/>
    </xf>
    <xf numFmtId="43" fontId="5" fillId="3" borderId="21" xfId="1" applyNumberFormat="1" applyFont="1" applyFill="1" applyBorder="1" applyAlignment="1">
      <alignment horizontal="center"/>
    </xf>
    <xf numFmtId="43" fontId="4" fillId="3" borderId="44" xfId="1" applyNumberFormat="1" applyFont="1" applyFill="1" applyBorder="1" applyAlignment="1">
      <alignment horizontal="center"/>
    </xf>
    <xf numFmtId="43" fontId="4" fillId="3" borderId="45" xfId="1" applyNumberFormat="1" applyFont="1" applyFill="1" applyBorder="1" applyAlignment="1">
      <alignment horizontal="center"/>
    </xf>
    <xf numFmtId="43" fontId="25" fillId="0" borderId="1" xfId="1" applyNumberFormat="1" applyFont="1" applyBorder="1" applyAlignment="1">
      <alignment horizontal="center"/>
    </xf>
    <xf numFmtId="43" fontId="9" fillId="3" borderId="16" xfId="1" applyNumberFormat="1" applyFont="1" applyFill="1" applyBorder="1" applyAlignment="1">
      <alignment horizontal="center"/>
    </xf>
    <xf numFmtId="43" fontId="9" fillId="3" borderId="17" xfId="1" applyNumberFormat="1" applyFont="1" applyFill="1" applyBorder="1" applyAlignment="1">
      <alignment horizontal="center"/>
    </xf>
    <xf numFmtId="43" fontId="9" fillId="2" borderId="16" xfId="1" applyNumberFormat="1" applyFont="1" applyFill="1" applyBorder="1" applyAlignment="1">
      <alignment horizontal="center"/>
    </xf>
    <xf numFmtId="43" fontId="9" fillId="2" borderId="5" xfId="1" applyNumberFormat="1" applyFont="1" applyFill="1" applyBorder="1" applyAlignment="1">
      <alignment horizontal="center"/>
    </xf>
    <xf numFmtId="43" fontId="9" fillId="2" borderId="17" xfId="1" applyNumberFormat="1" applyFont="1" applyFill="1" applyBorder="1" applyAlignment="1">
      <alignment horizontal="center"/>
    </xf>
    <xf numFmtId="43" fontId="4" fillId="2" borderId="20" xfId="1" applyNumberFormat="1" applyFont="1" applyFill="1" applyBorder="1" applyAlignment="1">
      <alignment horizontal="center"/>
    </xf>
    <xf numFmtId="43" fontId="4" fillId="2" borderId="0" xfId="1" applyNumberFormat="1" applyFont="1" applyFill="1" applyBorder="1" applyAlignment="1">
      <alignment horizontal="center"/>
    </xf>
    <xf numFmtId="43" fontId="4" fillId="2" borderId="21" xfId="1" applyNumberFormat="1" applyFont="1" applyFill="1" applyBorder="1" applyAlignment="1">
      <alignment horizontal="center"/>
    </xf>
    <xf numFmtId="43" fontId="4" fillId="2" borderId="44" xfId="1" applyNumberFormat="1" applyFont="1" applyFill="1" applyBorder="1" applyAlignment="1">
      <alignment horizontal="center"/>
    </xf>
    <xf numFmtId="43" fontId="4" fillId="2" borderId="1" xfId="1" applyNumberFormat="1" applyFont="1" applyFill="1" applyBorder="1" applyAlignment="1">
      <alignment horizontal="center"/>
    </xf>
    <xf numFmtId="43" fontId="4" fillId="2" borderId="45" xfId="1" applyNumberFormat="1" applyFont="1" applyFill="1" applyBorder="1" applyAlignment="1">
      <alignment horizontal="center"/>
    </xf>
    <xf numFmtId="43" fontId="5" fillId="2" borderId="20" xfId="1" applyNumberFormat="1" applyFont="1" applyFill="1" applyBorder="1" applyAlignment="1">
      <alignment horizontal="center"/>
    </xf>
    <xf numFmtId="43" fontId="5" fillId="2" borderId="0" xfId="1" applyNumberFormat="1" applyFont="1" applyFill="1" applyBorder="1" applyAlignment="1">
      <alignment horizontal="center"/>
    </xf>
    <xf numFmtId="43" fontId="5" fillId="2" borderId="21" xfId="1" applyNumberFormat="1" applyFont="1" applyFill="1" applyBorder="1" applyAlignment="1">
      <alignment horizontal="center"/>
    </xf>
    <xf numFmtId="43" fontId="9" fillId="4" borderId="16" xfId="1" applyNumberFormat="1" applyFont="1" applyFill="1" applyBorder="1" applyAlignment="1">
      <alignment horizontal="center"/>
    </xf>
    <xf numFmtId="43" fontId="9" fillId="4" borderId="17" xfId="1" applyNumberFormat="1" applyFont="1" applyFill="1" applyBorder="1" applyAlignment="1">
      <alignment horizontal="center"/>
    </xf>
    <xf numFmtId="43" fontId="4" fillId="4" borderId="20" xfId="1" applyNumberFormat="1" applyFont="1" applyFill="1" applyBorder="1" applyAlignment="1">
      <alignment horizontal="center"/>
    </xf>
    <xf numFmtId="43" fontId="4" fillId="4" borderId="21" xfId="1" applyNumberFormat="1" applyFont="1" applyFill="1" applyBorder="1" applyAlignment="1">
      <alignment horizontal="center"/>
    </xf>
    <xf numFmtId="43" fontId="5" fillId="4" borderId="20" xfId="1" applyNumberFormat="1" applyFont="1" applyFill="1" applyBorder="1" applyAlignment="1">
      <alignment horizontal="center"/>
    </xf>
    <xf numFmtId="43" fontId="5" fillId="4" borderId="21" xfId="1" applyNumberFormat="1" applyFont="1" applyFill="1" applyBorder="1" applyAlignment="1">
      <alignment horizontal="center"/>
    </xf>
    <xf numFmtId="43" fontId="0" fillId="0" borderId="0" xfId="1" applyNumberFormat="1" applyFont="1" applyAlignment="1">
      <alignment horizontal="right"/>
    </xf>
    <xf numFmtId="43" fontId="4" fillId="4" borderId="44" xfId="1" applyNumberFormat="1" applyFont="1" applyFill="1" applyBorder="1" applyAlignment="1">
      <alignment horizontal="center"/>
    </xf>
    <xf numFmtId="43" fontId="4" fillId="4" borderId="45" xfId="1" applyNumberFormat="1" applyFont="1" applyFill="1" applyBorder="1" applyAlignment="1">
      <alignment horizontal="center"/>
    </xf>
    <xf numFmtId="0" fontId="13" fillId="3" borderId="18" xfId="0" applyFont="1" applyFill="1" applyBorder="1" applyAlignment="1" applyProtection="1">
      <alignment horizontal="center"/>
      <protection locked="0"/>
    </xf>
    <xf numFmtId="0" fontId="13" fillId="3" borderId="19" xfId="0" applyFont="1" applyFill="1" applyBorder="1" applyAlignment="1" applyProtection="1">
      <alignment horizontal="center"/>
      <protection locked="0"/>
    </xf>
    <xf numFmtId="0" fontId="4" fillId="3" borderId="44" xfId="0" applyFont="1" applyFill="1" applyBorder="1" applyAlignment="1" applyProtection="1">
      <alignment horizontal="center"/>
      <protection locked="0"/>
    </xf>
    <xf numFmtId="0" fontId="4" fillId="3" borderId="45" xfId="0" applyFont="1" applyFill="1" applyBorder="1" applyAlignment="1" applyProtection="1">
      <alignment horizontal="center"/>
      <protection locked="0"/>
    </xf>
    <xf numFmtId="0" fontId="13" fillId="13" borderId="18" xfId="0" applyFont="1" applyFill="1" applyBorder="1" applyAlignment="1" applyProtection="1">
      <alignment horizontal="center"/>
      <protection locked="0"/>
    </xf>
    <xf numFmtId="0" fontId="13" fillId="13" borderId="19" xfId="0" applyFont="1" applyFill="1" applyBorder="1" applyAlignment="1" applyProtection="1">
      <alignment horizontal="center"/>
      <protection locked="0"/>
    </xf>
    <xf numFmtId="0" fontId="4" fillId="13" borderId="44" xfId="0" applyFont="1" applyFill="1" applyBorder="1" applyAlignment="1" applyProtection="1">
      <alignment horizontal="center"/>
      <protection locked="0"/>
    </xf>
    <xf numFmtId="0" fontId="4" fillId="13" borderId="45" xfId="0" applyFont="1" applyFill="1" applyBorder="1" applyAlignment="1" applyProtection="1">
      <alignment horizontal="center"/>
      <protection locked="0"/>
    </xf>
    <xf numFmtId="0" fontId="4" fillId="2" borderId="44"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45" xfId="0" applyFont="1" applyFill="1" applyBorder="1" applyAlignment="1" applyProtection="1">
      <alignment horizontal="center"/>
      <protection locked="0"/>
    </xf>
    <xf numFmtId="0" fontId="13" fillId="2" borderId="18" xfId="0" applyFont="1" applyFill="1" applyBorder="1" applyAlignment="1" applyProtection="1">
      <alignment horizontal="center"/>
      <protection locked="0"/>
    </xf>
    <xf numFmtId="0" fontId="13" fillId="2" borderId="3" xfId="0" applyFont="1" applyFill="1" applyBorder="1" applyAlignment="1" applyProtection="1">
      <alignment horizontal="center"/>
      <protection locked="0"/>
    </xf>
    <xf numFmtId="0" fontId="13" fillId="2" borderId="19" xfId="0" applyFont="1" applyFill="1" applyBorder="1" applyAlignment="1" applyProtection="1">
      <alignment horizontal="center"/>
      <protection locked="0"/>
    </xf>
    <xf numFmtId="0" fontId="9" fillId="0" borderId="0" xfId="0" applyFont="1" applyAlignment="1" applyProtection="1">
      <alignment horizontal="left"/>
      <protection locked="0"/>
    </xf>
    <xf numFmtId="0" fontId="25" fillId="0" borderId="1" xfId="0" applyFont="1" applyBorder="1" applyAlignment="1" applyProtection="1">
      <alignment horizontal="center"/>
      <protection locked="0"/>
    </xf>
  </cellXfs>
  <cellStyles count="4">
    <cellStyle name="Accent1" xfId="3" builtinId="29"/>
    <cellStyle name="Comma" xfId="1" builtinId="3"/>
    <cellStyle name="Normal" xfId="0" builtinId="0"/>
    <cellStyle name="Percent" xfId="2" builtinId="5"/>
  </cellStyles>
  <dxfs count="27">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FF"/>
      <color rgb="FFCCCCFF"/>
      <color rgb="FFF1E3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BF94DB-7F93-47A8-A2E9-4727CDE673FF}" name="Table1" displayName="Table1" ref="A2:K40" headerRowCount="0" totalsRowShown="0" headerRowDxfId="26" dataDxfId="24" headerRowBorderDxfId="25" tableBorderDxfId="23" totalsRowBorderDxfId="22" headerRowCellStyle="Comma" dataCellStyle="Comma">
  <tableColumns count="11">
    <tableColumn id="1" xr3:uid="{088F0A8B-96BE-481A-ADE0-6EF4A4F33D4B}" name="Column1" headerRowDxfId="21" dataDxfId="20" headerRowCellStyle="Comma" dataCellStyle="Comma"/>
    <tableColumn id="2" xr3:uid="{4047873B-C1F6-4263-916C-AEAC9DB84BB9}" name="Column2" headerRowDxfId="19" dataDxfId="18" headerRowCellStyle="Comma" dataCellStyle="Comma"/>
    <tableColumn id="3" xr3:uid="{A4FC898A-C856-41E0-9B52-93F209820CAE}" name="Column3" headerRowDxfId="17" dataDxfId="16" headerRowCellStyle="Comma" dataCellStyle="Comma"/>
    <tableColumn id="4" xr3:uid="{E157D0DD-0DA5-40BB-B0E9-2F97603FF23C}" name="Column4" headerRowDxfId="15" dataDxfId="14" headerRowCellStyle="Comma" dataCellStyle="Comma"/>
    <tableColumn id="5" xr3:uid="{0E8229AB-BB32-4533-8549-950E4838C682}" name="Column5" headerRowDxfId="13" dataDxfId="12" headerRowCellStyle="Comma" dataCellStyle="Comma"/>
    <tableColumn id="6" xr3:uid="{B46EE95F-5935-428E-90DA-045DBF9D1F58}" name="Column6" headerRowDxfId="11" dataDxfId="10" headerRowCellStyle="Comma" dataCellStyle="Comma"/>
    <tableColumn id="7" xr3:uid="{45A398EA-C589-411F-A0D7-FB043D09013E}" name="Column7" headerRowDxfId="9" dataDxfId="8" headerRowCellStyle="Comma" dataCellStyle="Comma"/>
    <tableColumn id="8" xr3:uid="{CFE5842D-4AD4-4255-B9D3-92E25FA788D5}" name="Column8" headerRowDxfId="7" dataDxfId="6" headerRowCellStyle="Comma" dataCellStyle="Comma"/>
    <tableColumn id="9" xr3:uid="{AC6C2B0F-B1AE-433B-8B28-48DAD8CFFFC7}" name="Column9" headerRowDxfId="5" dataDxfId="4" headerRowCellStyle="Comma" dataCellStyle="Comma"/>
    <tableColumn id="10" xr3:uid="{5540AFD4-A5A6-4B89-BC4B-DF335AE4CF45}" name="Column10" headerRowDxfId="3" dataDxfId="2" headerRowCellStyle="Comma" dataCellStyle="Comma"/>
    <tableColumn id="11" xr3:uid="{9B366D0E-3FC0-4239-A215-BDEC623048EA}" name="Column11" headerRowDxfId="1"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CC61A-E87C-45F8-B5DF-BBE01E34CED8}">
  <dimension ref="A1:K43"/>
  <sheetViews>
    <sheetView tabSelected="1" zoomScaleNormal="100" workbookViewId="0">
      <pane xSplit="1" ySplit="1" topLeftCell="B32" activePane="bottomRight" state="frozen"/>
      <selection pane="topRight" activeCell="B1" sqref="B1"/>
      <selection pane="bottomLeft" activeCell="A2" sqref="A2"/>
      <selection pane="bottomRight" activeCell="K25" sqref="K25"/>
    </sheetView>
  </sheetViews>
  <sheetFormatPr defaultRowHeight="15.75" x14ac:dyDescent="0.25"/>
  <cols>
    <col min="1" max="1" width="80.5703125" style="483" customWidth="1"/>
    <col min="2" max="2" width="15.140625" style="484" customWidth="1"/>
    <col min="3" max="3" width="13.7109375" style="484" customWidth="1"/>
    <col min="4" max="4" width="18.85546875" style="484" customWidth="1"/>
    <col min="5" max="5" width="15.5703125" style="484" customWidth="1"/>
    <col min="6" max="6" width="17.140625" style="484" customWidth="1"/>
    <col min="7" max="7" width="14.85546875" style="484" customWidth="1"/>
    <col min="8" max="8" width="16.140625" style="484" bestFit="1" customWidth="1"/>
    <col min="9" max="9" width="15.140625" style="484" customWidth="1"/>
    <col min="10" max="10" width="14.140625" style="484" bestFit="1" customWidth="1"/>
    <col min="11" max="11" width="16.28515625" style="484" customWidth="1"/>
  </cols>
  <sheetData>
    <row r="1" spans="1:11" s="257" customFormat="1" ht="28.9" customHeight="1" x14ac:dyDescent="0.25">
      <c r="A1" s="501" t="s">
        <v>515</v>
      </c>
      <c r="B1" s="501" t="s">
        <v>1</v>
      </c>
      <c r="C1" s="501" t="s">
        <v>0</v>
      </c>
      <c r="D1" s="501" t="s">
        <v>3</v>
      </c>
      <c r="E1" s="501" t="s">
        <v>2</v>
      </c>
      <c r="F1" s="502" t="s">
        <v>128</v>
      </c>
      <c r="G1" s="502"/>
      <c r="H1" s="502"/>
      <c r="I1" s="502"/>
      <c r="J1" s="502"/>
      <c r="K1" s="501" t="s">
        <v>170</v>
      </c>
    </row>
    <row r="2" spans="1:11" s="402" customFormat="1" ht="30" x14ac:dyDescent="0.25">
      <c r="A2" s="490"/>
      <c r="B2" s="487"/>
      <c r="C2" s="487"/>
      <c r="D2" s="487"/>
      <c r="E2" s="487"/>
      <c r="F2" s="487" t="s">
        <v>509</v>
      </c>
      <c r="G2" s="487" t="s">
        <v>474</v>
      </c>
      <c r="H2" s="487" t="s">
        <v>77</v>
      </c>
      <c r="I2" s="487" t="s">
        <v>475</v>
      </c>
      <c r="J2" s="487" t="s">
        <v>476</v>
      </c>
      <c r="K2" s="492"/>
    </row>
    <row r="3" spans="1:11" x14ac:dyDescent="0.25">
      <c r="A3" s="491" t="s">
        <v>477</v>
      </c>
      <c r="B3" s="489">
        <v>37641372</v>
      </c>
      <c r="C3" s="489">
        <v>8891635</v>
      </c>
      <c r="D3" s="489">
        <v>156065807</v>
      </c>
      <c r="E3" s="489">
        <v>3799848</v>
      </c>
      <c r="F3" s="489">
        <f>SUM(F4:F6)</f>
        <v>350561159</v>
      </c>
      <c r="G3" s="489">
        <f t="shared" ref="G3" si="0">SUM(G4:G6)</f>
        <v>8764029</v>
      </c>
      <c r="H3" s="489">
        <v>17528057</v>
      </c>
      <c r="I3" s="489">
        <v>3505612</v>
      </c>
      <c r="J3" s="489">
        <v>3505612</v>
      </c>
      <c r="K3" s="493">
        <f>SUM(B3:F3)</f>
        <v>556959821</v>
      </c>
    </row>
    <row r="4" spans="1:11" ht="15" x14ac:dyDescent="0.25">
      <c r="A4" s="490" t="s">
        <v>478</v>
      </c>
      <c r="B4" s="487">
        <v>188206</v>
      </c>
      <c r="C4" s="487">
        <v>307709</v>
      </c>
      <c r="D4" s="487">
        <v>569718</v>
      </c>
      <c r="E4" s="487">
        <v>266206</v>
      </c>
      <c r="F4" s="487">
        <v>1752805</v>
      </c>
      <c r="G4" s="487">
        <v>0</v>
      </c>
      <c r="H4" s="487">
        <v>0</v>
      </c>
      <c r="I4" s="487">
        <v>0</v>
      </c>
      <c r="J4" s="487">
        <v>0</v>
      </c>
      <c r="K4" s="494">
        <f>SUM(B4:F4)</f>
        <v>3084644</v>
      </c>
    </row>
    <row r="5" spans="1:11" s="488" customFormat="1" ht="15" x14ac:dyDescent="0.25">
      <c r="A5" s="490" t="s">
        <v>479</v>
      </c>
      <c r="B5" s="487">
        <v>33877234.799999997</v>
      </c>
      <c r="C5" s="487">
        <v>0</v>
      </c>
      <c r="D5" s="487">
        <v>140459226.30000001</v>
      </c>
      <c r="E5" s="487">
        <v>0</v>
      </c>
      <c r="F5" s="487">
        <v>315505044</v>
      </c>
      <c r="G5" s="487">
        <v>0</v>
      </c>
      <c r="H5" s="487">
        <v>0</v>
      </c>
      <c r="I5" s="487">
        <v>0</v>
      </c>
      <c r="J5" s="487">
        <v>0</v>
      </c>
      <c r="K5" s="494">
        <f>SUM(B5:F5)</f>
        <v>489841505.10000002</v>
      </c>
    </row>
    <row r="6" spans="1:11" ht="15" x14ac:dyDescent="0.25">
      <c r="A6" s="490" t="s">
        <v>474</v>
      </c>
      <c r="B6" s="487">
        <v>3575930.34</v>
      </c>
      <c r="C6" s="487">
        <v>8583761</v>
      </c>
      <c r="D6" s="487">
        <v>15036862.699999999</v>
      </c>
      <c r="E6" s="487">
        <v>3533642</v>
      </c>
      <c r="F6" s="487">
        <f>SUM(G6:J6)</f>
        <v>33303310</v>
      </c>
      <c r="G6" s="487">
        <v>8764029</v>
      </c>
      <c r="H6" s="487">
        <f>+H3</f>
        <v>17528057</v>
      </c>
      <c r="I6" s="487">
        <f>+I3</f>
        <v>3505612</v>
      </c>
      <c r="J6" s="487">
        <f>+J3</f>
        <v>3505612</v>
      </c>
      <c r="K6" s="494">
        <f>SUM(B6:F6)</f>
        <v>64033506.039999999</v>
      </c>
    </row>
    <row r="7" spans="1:11" ht="15" x14ac:dyDescent="0.25">
      <c r="A7" s="498"/>
      <c r="B7" s="499"/>
      <c r="C7" s="499"/>
      <c r="D7" s="499"/>
      <c r="E7" s="499"/>
      <c r="F7" s="499"/>
      <c r="G7" s="499"/>
      <c r="H7" s="499"/>
      <c r="I7" s="499"/>
      <c r="J7" s="499"/>
      <c r="K7" s="500"/>
    </row>
    <row r="8" spans="1:11" ht="15" x14ac:dyDescent="0.25">
      <c r="A8" s="490" t="s">
        <v>485</v>
      </c>
      <c r="B8" s="487"/>
      <c r="C8" s="487"/>
      <c r="D8" s="487">
        <v>1500000</v>
      </c>
      <c r="E8" s="487"/>
      <c r="F8" s="487"/>
      <c r="G8" s="487">
        <v>1000000</v>
      </c>
      <c r="H8" s="487"/>
      <c r="I8" s="487"/>
      <c r="J8" s="487"/>
      <c r="K8" s="494">
        <f t="shared" ref="K8:K38" si="1">SUM(B8:J8)</f>
        <v>2500000</v>
      </c>
    </row>
    <row r="9" spans="1:11" ht="15" x14ac:dyDescent="0.25">
      <c r="A9" s="490" t="s">
        <v>487</v>
      </c>
      <c r="B9" s="487"/>
      <c r="C9" s="487">
        <v>543239.6</v>
      </c>
      <c r="D9" s="487"/>
      <c r="E9" s="487"/>
      <c r="F9" s="487"/>
      <c r="G9" s="487">
        <v>251315.4</v>
      </c>
      <c r="H9" s="487"/>
      <c r="I9" s="487"/>
      <c r="J9" s="487"/>
      <c r="K9" s="494">
        <f t="shared" si="1"/>
        <v>794555</v>
      </c>
    </row>
    <row r="10" spans="1:11" ht="15" x14ac:dyDescent="0.25">
      <c r="A10" s="490" t="s">
        <v>483</v>
      </c>
      <c r="B10" s="487"/>
      <c r="C10" s="487"/>
      <c r="D10" s="487"/>
      <c r="E10" s="487"/>
      <c r="F10" s="487"/>
      <c r="G10" s="487"/>
      <c r="H10" s="487">
        <v>794555</v>
      </c>
      <c r="I10" s="487"/>
      <c r="J10" s="487"/>
      <c r="K10" s="494">
        <f t="shared" si="1"/>
        <v>794555</v>
      </c>
    </row>
    <row r="11" spans="1:11" ht="15" x14ac:dyDescent="0.25">
      <c r="A11" s="490" t="s">
        <v>513</v>
      </c>
      <c r="B11" s="487"/>
      <c r="C11" s="487"/>
      <c r="D11" s="487">
        <v>737000</v>
      </c>
      <c r="E11" s="487">
        <v>500000</v>
      </c>
      <c r="F11" s="487"/>
      <c r="G11" s="487">
        <v>617000</v>
      </c>
      <c r="H11" s="487"/>
      <c r="I11" s="487">
        <v>500000</v>
      </c>
      <c r="J11" s="487"/>
      <c r="K11" s="494">
        <f t="shared" si="1"/>
        <v>2354000</v>
      </c>
    </row>
    <row r="12" spans="1:11" ht="15" x14ac:dyDescent="0.25">
      <c r="A12" s="490" t="s">
        <v>489</v>
      </c>
      <c r="B12" s="487"/>
      <c r="C12" s="487"/>
      <c r="D12" s="487">
        <f>2163242.33+1826757.67</f>
        <v>3990000</v>
      </c>
      <c r="E12" s="487"/>
      <c r="F12" s="487"/>
      <c r="G12" s="487"/>
      <c r="H12" s="487">
        <f>3990000</f>
        <v>3990000</v>
      </c>
      <c r="I12" s="487"/>
      <c r="J12" s="487"/>
      <c r="K12" s="494">
        <f t="shared" si="1"/>
        <v>7980000</v>
      </c>
    </row>
    <row r="13" spans="1:11" ht="15" x14ac:dyDescent="0.25">
      <c r="A13" s="490" t="s">
        <v>490</v>
      </c>
      <c r="B13" s="487">
        <v>137700</v>
      </c>
      <c r="C13" s="487"/>
      <c r="D13" s="487"/>
      <c r="E13" s="487"/>
      <c r="F13" s="487"/>
      <c r="G13" s="487"/>
      <c r="H13" s="487"/>
      <c r="I13" s="487"/>
      <c r="J13" s="487"/>
      <c r="K13" s="494">
        <f t="shared" si="1"/>
        <v>137700</v>
      </c>
    </row>
    <row r="14" spans="1:11" ht="15" x14ac:dyDescent="0.25">
      <c r="A14" s="490" t="s">
        <v>491</v>
      </c>
      <c r="B14" s="487"/>
      <c r="C14" s="487"/>
      <c r="D14" s="487">
        <v>199985.76</v>
      </c>
      <c r="E14" s="487"/>
      <c r="F14" s="487"/>
      <c r="G14" s="487"/>
      <c r="H14" s="487"/>
      <c r="I14" s="487"/>
      <c r="J14" s="487"/>
      <c r="K14" s="494">
        <f t="shared" si="1"/>
        <v>199985.76</v>
      </c>
    </row>
    <row r="15" spans="1:11" ht="15" x14ac:dyDescent="0.25">
      <c r="A15" s="490" t="s">
        <v>480</v>
      </c>
      <c r="B15" s="487">
        <f>57108.31+158000</f>
        <v>215108.31</v>
      </c>
      <c r="C15" s="487"/>
      <c r="D15" s="487"/>
      <c r="E15" s="487"/>
      <c r="F15" s="487"/>
      <c r="G15" s="487"/>
      <c r="H15" s="487"/>
      <c r="I15" s="487"/>
      <c r="J15" s="487"/>
      <c r="K15" s="494">
        <f t="shared" si="1"/>
        <v>215108.31</v>
      </c>
    </row>
    <row r="16" spans="1:11" ht="15" x14ac:dyDescent="0.25">
      <c r="A16" s="490" t="s">
        <v>492</v>
      </c>
      <c r="B16" s="487"/>
      <c r="C16" s="487"/>
      <c r="D16" s="487"/>
      <c r="E16" s="487"/>
      <c r="F16" s="487"/>
      <c r="G16" s="487">
        <v>343652</v>
      </c>
      <c r="H16" s="487"/>
      <c r="I16" s="487"/>
      <c r="J16" s="487"/>
      <c r="K16" s="494">
        <f t="shared" si="1"/>
        <v>343652</v>
      </c>
    </row>
    <row r="17" spans="1:11" ht="15" x14ac:dyDescent="0.25">
      <c r="A17" s="490" t="s">
        <v>493</v>
      </c>
      <c r="B17" s="487"/>
      <c r="C17" s="487"/>
      <c r="D17" s="487"/>
      <c r="E17" s="487"/>
      <c r="F17" s="487"/>
      <c r="G17" s="487">
        <v>140786</v>
      </c>
      <c r="H17" s="487">
        <f>795214</f>
        <v>795214</v>
      </c>
      <c r="I17" s="487"/>
      <c r="J17" s="487"/>
      <c r="K17" s="494">
        <f t="shared" si="1"/>
        <v>936000</v>
      </c>
    </row>
    <row r="18" spans="1:11" ht="15" x14ac:dyDescent="0.25">
      <c r="A18" s="490" t="s">
        <v>494</v>
      </c>
      <c r="B18" s="487"/>
      <c r="C18" s="487"/>
      <c r="D18" s="487">
        <v>555659.80000000005</v>
      </c>
      <c r="E18" s="487"/>
      <c r="F18" s="487"/>
      <c r="G18" s="487"/>
      <c r="H18" s="487"/>
      <c r="I18" s="487"/>
      <c r="J18" s="487"/>
      <c r="K18" s="494">
        <f t="shared" si="1"/>
        <v>555659.80000000005</v>
      </c>
    </row>
    <row r="19" spans="1:11" ht="15" x14ac:dyDescent="0.25">
      <c r="A19" s="490" t="s">
        <v>481</v>
      </c>
      <c r="B19" s="487"/>
      <c r="C19" s="487"/>
      <c r="D19" s="487"/>
      <c r="E19" s="487"/>
      <c r="F19" s="487"/>
      <c r="G19" s="487">
        <v>50000</v>
      </c>
      <c r="H19" s="487">
        <v>495000</v>
      </c>
      <c r="I19" s="487"/>
      <c r="J19" s="487"/>
      <c r="K19" s="494">
        <f t="shared" si="1"/>
        <v>545000</v>
      </c>
    </row>
    <row r="20" spans="1:11" ht="15" x14ac:dyDescent="0.25">
      <c r="A20" s="490" t="s">
        <v>484</v>
      </c>
      <c r="B20" s="487"/>
      <c r="C20" s="487"/>
      <c r="D20" s="487"/>
      <c r="E20" s="487"/>
      <c r="F20" s="487"/>
      <c r="G20" s="487">
        <v>815400</v>
      </c>
      <c r="H20" s="487"/>
      <c r="I20" s="487"/>
      <c r="J20" s="487"/>
      <c r="K20" s="494">
        <f t="shared" si="1"/>
        <v>815400</v>
      </c>
    </row>
    <row r="21" spans="1:11" ht="15" x14ac:dyDescent="0.25">
      <c r="A21" s="490" t="s">
        <v>495</v>
      </c>
      <c r="B21" s="487"/>
      <c r="C21" s="487"/>
      <c r="D21" s="487"/>
      <c r="E21" s="487"/>
      <c r="F21" s="487"/>
      <c r="G21" s="487">
        <v>936943</v>
      </c>
      <c r="H21" s="487">
        <f>89899+421158</f>
        <v>511057</v>
      </c>
      <c r="I21" s="487"/>
      <c r="J21" s="487"/>
      <c r="K21" s="494">
        <f t="shared" si="1"/>
        <v>1448000</v>
      </c>
    </row>
    <row r="22" spans="1:11" ht="15" x14ac:dyDescent="0.25">
      <c r="A22" s="490" t="s">
        <v>496</v>
      </c>
      <c r="B22" s="487"/>
      <c r="C22" s="487">
        <v>625372.91</v>
      </c>
      <c r="D22" s="487"/>
      <c r="E22" s="487"/>
      <c r="F22" s="487"/>
      <c r="G22" s="487"/>
      <c r="H22" s="487"/>
      <c r="I22" s="487">
        <v>2500000</v>
      </c>
      <c r="J22" s="487"/>
      <c r="K22" s="494">
        <f t="shared" si="1"/>
        <v>3125372.91</v>
      </c>
    </row>
    <row r="23" spans="1:11" ht="15" x14ac:dyDescent="0.25">
      <c r="A23" s="490" t="s">
        <v>497</v>
      </c>
      <c r="B23" s="487"/>
      <c r="C23" s="487">
        <v>1767708.97</v>
      </c>
      <c r="D23" s="487"/>
      <c r="E23" s="487">
        <f>1350000+1150000</f>
        <v>2500000</v>
      </c>
      <c r="F23" s="487"/>
      <c r="G23" s="487"/>
      <c r="H23" s="487"/>
      <c r="I23" s="487"/>
      <c r="J23" s="487"/>
      <c r="K23" s="494">
        <f t="shared" si="1"/>
        <v>4267708.97</v>
      </c>
    </row>
    <row r="24" spans="1:11" ht="15" x14ac:dyDescent="0.25">
      <c r="A24" s="490" t="s">
        <v>514</v>
      </c>
      <c r="B24" s="487"/>
      <c r="C24" s="487"/>
      <c r="D24" s="487">
        <v>100000</v>
      </c>
      <c r="E24" s="487"/>
      <c r="F24" s="487"/>
      <c r="G24" s="487"/>
      <c r="H24" s="487"/>
      <c r="I24" s="487"/>
      <c r="J24" s="487"/>
      <c r="K24" s="494">
        <v>100000</v>
      </c>
    </row>
    <row r="25" spans="1:11" ht="15" x14ac:dyDescent="0.25">
      <c r="A25" s="490" t="s">
        <v>498</v>
      </c>
      <c r="B25" s="487"/>
      <c r="C25" s="487"/>
      <c r="D25" s="487"/>
      <c r="E25" s="487"/>
      <c r="F25" s="487"/>
      <c r="G25" s="487"/>
      <c r="H25" s="487">
        <f>3853928+94388</f>
        <v>3948316</v>
      </c>
      <c r="I25" s="487"/>
      <c r="J25" s="487">
        <v>1051684</v>
      </c>
      <c r="K25" s="494">
        <f t="shared" si="1"/>
        <v>5000000</v>
      </c>
    </row>
    <row r="26" spans="1:11" ht="15" x14ac:dyDescent="0.25">
      <c r="A26" s="490" t="s">
        <v>499</v>
      </c>
      <c r="B26" s="487"/>
      <c r="C26" s="487"/>
      <c r="D26" s="487"/>
      <c r="E26" s="487"/>
      <c r="F26" s="487"/>
      <c r="G26" s="487">
        <v>500000</v>
      </c>
      <c r="H26" s="487"/>
      <c r="I26" s="487"/>
      <c r="J26" s="487"/>
      <c r="K26" s="494">
        <f t="shared" si="1"/>
        <v>500000</v>
      </c>
    </row>
    <row r="27" spans="1:11" ht="15" x14ac:dyDescent="0.25">
      <c r="A27" s="490" t="s">
        <v>486</v>
      </c>
      <c r="B27" s="487"/>
      <c r="C27" s="487"/>
      <c r="D27" s="487"/>
      <c r="E27" s="487"/>
      <c r="F27" s="487"/>
      <c r="G27" s="487"/>
      <c r="H27" s="487">
        <v>197383</v>
      </c>
      <c r="I27" s="487"/>
      <c r="J27" s="487"/>
      <c r="K27" s="494">
        <f t="shared" si="1"/>
        <v>197383</v>
      </c>
    </row>
    <row r="28" spans="1:11" ht="15" x14ac:dyDescent="0.25">
      <c r="A28" s="490" t="s">
        <v>500</v>
      </c>
      <c r="B28" s="487"/>
      <c r="C28" s="487"/>
      <c r="D28" s="487"/>
      <c r="E28" s="487"/>
      <c r="F28" s="487"/>
      <c r="G28" s="487"/>
      <c r="H28" s="487">
        <f>500000</f>
        <v>500000</v>
      </c>
      <c r="I28" s="487"/>
      <c r="J28" s="487"/>
      <c r="K28" s="494">
        <f t="shared" si="1"/>
        <v>500000</v>
      </c>
    </row>
    <row r="29" spans="1:11" ht="15" x14ac:dyDescent="0.25">
      <c r="A29" s="490" t="s">
        <v>501</v>
      </c>
      <c r="B29" s="487"/>
      <c r="C29" s="487"/>
      <c r="D29" s="487"/>
      <c r="E29" s="487"/>
      <c r="F29" s="487"/>
      <c r="G29" s="487">
        <v>200000</v>
      </c>
      <c r="H29" s="487"/>
      <c r="I29" s="487"/>
      <c r="J29" s="487"/>
      <c r="K29" s="494">
        <f t="shared" si="1"/>
        <v>200000</v>
      </c>
    </row>
    <row r="30" spans="1:11" ht="15" x14ac:dyDescent="0.25">
      <c r="A30" s="490" t="s">
        <v>502</v>
      </c>
      <c r="B30" s="487">
        <v>376788</v>
      </c>
      <c r="C30" s="487"/>
      <c r="D30" s="487">
        <v>1703756</v>
      </c>
      <c r="E30" s="487"/>
      <c r="F30" s="487"/>
      <c r="G30" s="487"/>
      <c r="H30" s="487">
        <v>1319000</v>
      </c>
      <c r="I30" s="487"/>
      <c r="J30" s="487"/>
      <c r="K30" s="494">
        <f t="shared" si="1"/>
        <v>3399544</v>
      </c>
    </row>
    <row r="31" spans="1:11" ht="15" x14ac:dyDescent="0.25">
      <c r="A31" s="490" t="s">
        <v>503</v>
      </c>
      <c r="B31" s="487"/>
      <c r="C31" s="487">
        <v>1372008.54</v>
      </c>
      <c r="D31" s="487"/>
      <c r="E31" s="487"/>
      <c r="F31" s="487"/>
      <c r="G31" s="487"/>
      <c r="H31" s="487">
        <v>1974063.46</v>
      </c>
      <c r="I31" s="487"/>
      <c r="J31" s="487">
        <v>1453928</v>
      </c>
      <c r="K31" s="494">
        <f t="shared" si="1"/>
        <v>4800000</v>
      </c>
    </row>
    <row r="32" spans="1:11" ht="15" x14ac:dyDescent="0.25">
      <c r="A32" s="490" t="s">
        <v>504</v>
      </c>
      <c r="B32" s="487">
        <v>24561.45</v>
      </c>
      <c r="C32" s="487">
        <v>18243.45</v>
      </c>
      <c r="D32" s="487">
        <f>467368</f>
        <v>467368</v>
      </c>
      <c r="E32" s="487">
        <v>45506</v>
      </c>
      <c r="F32" s="487"/>
      <c r="G32" s="487">
        <v>733592.68</v>
      </c>
      <c r="H32" s="487"/>
      <c r="I32" s="487"/>
      <c r="J32" s="487"/>
      <c r="K32" s="494">
        <f t="shared" si="1"/>
        <v>1289271.58</v>
      </c>
    </row>
    <row r="33" spans="1:11" ht="15" x14ac:dyDescent="0.25">
      <c r="A33" s="490" t="s">
        <v>505</v>
      </c>
      <c r="B33" s="487"/>
      <c r="C33" s="487"/>
      <c r="D33" s="487"/>
      <c r="E33" s="487"/>
      <c r="F33" s="487"/>
      <c r="G33" s="487"/>
      <c r="H33" s="487">
        <v>450460</v>
      </c>
      <c r="I33" s="487"/>
      <c r="J33" s="487"/>
      <c r="K33" s="494">
        <f t="shared" si="1"/>
        <v>450460</v>
      </c>
    </row>
    <row r="34" spans="1:11" ht="15" x14ac:dyDescent="0.25">
      <c r="A34" s="490" t="s">
        <v>488</v>
      </c>
      <c r="B34" s="487"/>
      <c r="C34" s="487"/>
      <c r="D34" s="487"/>
      <c r="E34" s="487"/>
      <c r="F34" s="487"/>
      <c r="G34" s="487"/>
      <c r="H34" s="487"/>
      <c r="I34" s="487">
        <v>505612</v>
      </c>
      <c r="J34" s="487"/>
      <c r="K34" s="494">
        <f t="shared" si="1"/>
        <v>505612</v>
      </c>
    </row>
    <row r="35" spans="1:11" ht="15" x14ac:dyDescent="0.25">
      <c r="A35" s="490" t="s">
        <v>482</v>
      </c>
      <c r="B35" s="487">
        <v>2470950.0699999998</v>
      </c>
      <c r="C35" s="487">
        <v>2470950.0699999998</v>
      </c>
      <c r="D35" s="487">
        <v>2304380</v>
      </c>
      <c r="E35" s="487"/>
      <c r="F35" s="487"/>
      <c r="G35" s="487">
        <v>1734000</v>
      </c>
      <c r="H35" s="487"/>
      <c r="I35" s="487"/>
      <c r="J35" s="487"/>
      <c r="K35" s="494">
        <f t="shared" si="1"/>
        <v>8980280.1400000006</v>
      </c>
    </row>
    <row r="36" spans="1:11" ht="15" x14ac:dyDescent="0.25">
      <c r="A36" s="490" t="s">
        <v>506</v>
      </c>
      <c r="B36" s="487"/>
      <c r="C36" s="487">
        <v>500000</v>
      </c>
      <c r="D36" s="487"/>
      <c r="E36" s="487">
        <v>485000</v>
      </c>
      <c r="F36" s="487"/>
      <c r="G36" s="487"/>
      <c r="H36" s="487"/>
      <c r="I36" s="487"/>
      <c r="J36" s="487"/>
      <c r="K36" s="494">
        <f t="shared" si="1"/>
        <v>985000</v>
      </c>
    </row>
    <row r="37" spans="1:11" ht="15" x14ac:dyDescent="0.25">
      <c r="A37" s="490" t="s">
        <v>507</v>
      </c>
      <c r="B37" s="487"/>
      <c r="C37" s="487">
        <v>1127348.98</v>
      </c>
      <c r="D37" s="487">
        <v>1082391.9099999999</v>
      </c>
      <c r="E37" s="487"/>
      <c r="F37" s="487"/>
      <c r="G37" s="487"/>
      <c r="H37" s="487"/>
      <c r="I37" s="487"/>
      <c r="J37" s="487"/>
      <c r="K37" s="494">
        <f t="shared" si="1"/>
        <v>2209740.8899999997</v>
      </c>
    </row>
    <row r="38" spans="1:11" ht="15" x14ac:dyDescent="0.25">
      <c r="A38" s="490" t="s">
        <v>508</v>
      </c>
      <c r="B38" s="487"/>
      <c r="C38" s="487"/>
      <c r="D38" s="487"/>
      <c r="E38" s="487"/>
      <c r="F38" s="487"/>
      <c r="G38" s="487"/>
      <c r="H38" s="487"/>
      <c r="I38" s="487"/>
      <c r="J38" s="487">
        <v>1000000</v>
      </c>
      <c r="K38" s="494">
        <f t="shared" si="1"/>
        <v>1000000</v>
      </c>
    </row>
    <row r="39" spans="1:11" ht="15" x14ac:dyDescent="0.25">
      <c r="A39" s="490"/>
      <c r="B39" s="487"/>
      <c r="C39" s="487"/>
      <c r="D39" s="487"/>
      <c r="E39" s="487"/>
      <c r="F39" s="487"/>
      <c r="G39" s="487"/>
      <c r="H39" s="487"/>
      <c r="I39" s="487"/>
      <c r="J39" s="487"/>
      <c r="K39" s="494"/>
    </row>
    <row r="40" spans="1:11" ht="15" x14ac:dyDescent="0.25">
      <c r="A40" s="495" t="s">
        <v>510</v>
      </c>
      <c r="B40" s="496">
        <f>B6-SUM(B8:B39)</f>
        <v>350822.50999999978</v>
      </c>
      <c r="C40" s="496">
        <f>C6-SUM(C8:C39)</f>
        <v>158888.48000000045</v>
      </c>
      <c r="D40" s="496">
        <f>D6-SUM(D8:D39)</f>
        <v>2396321.2300000004</v>
      </c>
      <c r="E40" s="496">
        <f>E6-SUM(E8:E39)</f>
        <v>3136</v>
      </c>
      <c r="F40" s="496"/>
      <c r="G40" s="496">
        <f>G6-SUM(G8:G39)</f>
        <v>1441339.92</v>
      </c>
      <c r="H40" s="496">
        <f>H6-SUM(H8:H39)</f>
        <v>2553008.5399999991</v>
      </c>
      <c r="I40" s="496">
        <f>I6-SUM(I8:I39)</f>
        <v>0</v>
      </c>
      <c r="J40" s="496">
        <f>J6-SUM(J8:J39)</f>
        <v>0</v>
      </c>
      <c r="K40" s="497">
        <f>K6-SUM(K8:K39)</f>
        <v>6903516.6799999997</v>
      </c>
    </row>
    <row r="42" spans="1:11" x14ac:dyDescent="0.25">
      <c r="A42" s="483" t="s">
        <v>511</v>
      </c>
    </row>
    <row r="43" spans="1:11" x14ac:dyDescent="0.25">
      <c r="A43" s="483" t="s">
        <v>512</v>
      </c>
    </row>
  </sheetData>
  <sortState xmlns:xlrd2="http://schemas.microsoft.com/office/spreadsheetml/2017/richdata2" ref="A8:K38">
    <sortCondition ref="A8:A38"/>
  </sortState>
  <mergeCells count="1">
    <mergeCell ref="F1:J1"/>
  </mergeCells>
  <pageMargins left="0.7" right="0.7" top="0.75" bottom="0.75" header="0.3" footer="0.3"/>
  <pageSetup orientation="portrait" r:id="rId1"/>
  <ignoredErrors>
    <ignoredError sqref="K4:K5" formulaRange="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pageSetUpPr fitToPage="1"/>
  </sheetPr>
  <dimension ref="A1:AD171"/>
  <sheetViews>
    <sheetView zoomScaleNormal="100" workbookViewId="0">
      <pane xSplit="3" ySplit="13" topLeftCell="S95" activePane="bottomRight" state="frozen"/>
      <selection pane="topRight" activeCell="D1" sqref="D1"/>
      <selection pane="bottomLeft" activeCell="A14" sqref="A14"/>
      <selection pane="bottomRight" activeCell="W99" sqref="W99"/>
    </sheetView>
  </sheetViews>
  <sheetFormatPr defaultRowHeight="15" x14ac:dyDescent="0.25"/>
  <cols>
    <col min="1" max="1" width="4.85546875" style="7" bestFit="1" customWidth="1"/>
    <col min="2" max="2" width="69" style="1" bestFit="1" customWidth="1"/>
    <col min="3" max="3" width="47.140625" style="1" customWidth="1"/>
    <col min="4" max="4" width="12.5703125" style="4" bestFit="1" customWidth="1"/>
    <col min="5" max="5" width="17" style="317" customWidth="1"/>
    <col min="6" max="6" width="13.85546875" style="1" customWidth="1"/>
    <col min="7" max="7" width="20" style="1" bestFit="1" customWidth="1"/>
    <col min="8" max="8" width="31.140625" style="5" customWidth="1"/>
    <col min="9" max="9" width="15" style="5" customWidth="1"/>
    <col min="10" max="10" width="17.28515625" style="5" customWidth="1"/>
    <col min="11" max="11" width="13.85546875" style="5" customWidth="1"/>
    <col min="12" max="12" width="16.140625" style="5" customWidth="1"/>
    <col min="13" max="13" width="17.28515625" style="5" customWidth="1"/>
    <col min="14" max="14" width="15" style="5" customWidth="1"/>
    <col min="15" max="15" width="32.7109375" style="5" customWidth="1"/>
    <col min="16" max="16" width="15.7109375" style="5" customWidth="1"/>
    <col min="17" max="17" width="16.5703125" style="5" customWidth="1"/>
    <col min="18" max="18" width="16.85546875" style="1" bestFit="1" customWidth="1"/>
    <col min="19" max="19" width="16.140625" style="1" bestFit="1" customWidth="1"/>
    <col min="20" max="20" width="15" style="1" bestFit="1" customWidth="1"/>
    <col min="21" max="21" width="15.85546875" style="1" bestFit="1" customWidth="1"/>
    <col min="22" max="22" width="15.85546875" style="1" customWidth="1"/>
    <col min="23" max="23" width="14.28515625" bestFit="1" customWidth="1"/>
    <col min="24" max="24" width="17.7109375" style="5" customWidth="1"/>
    <col min="25" max="25" width="16.7109375" customWidth="1"/>
    <col min="26" max="26" width="17" style="5" customWidth="1"/>
    <col min="27" max="27" width="16.28515625" style="5" customWidth="1"/>
  </cols>
  <sheetData>
    <row r="1" spans="1:27" x14ac:dyDescent="0.25">
      <c r="B1" s="238"/>
      <c r="C1" s="238"/>
      <c r="H1" s="271" t="s">
        <v>188</v>
      </c>
      <c r="J1" s="272" t="s">
        <v>188</v>
      </c>
      <c r="M1" s="272" t="s">
        <v>188</v>
      </c>
      <c r="O1" s="271" t="s">
        <v>188</v>
      </c>
      <c r="P1" s="510" t="s">
        <v>188</v>
      </c>
      <c r="Q1" s="510"/>
      <c r="Z1" s="510"/>
      <c r="AA1" s="510"/>
    </row>
    <row r="2" spans="1:27" s="121" customFormat="1" ht="15.75" x14ac:dyDescent="0.25">
      <c r="B2" s="239"/>
      <c r="C2" s="239"/>
      <c r="D2" s="122"/>
      <c r="E2" s="318"/>
      <c r="F2" s="122"/>
      <c r="G2" s="122"/>
      <c r="H2" s="123" t="s">
        <v>13</v>
      </c>
      <c r="I2" s="513" t="s">
        <v>12</v>
      </c>
      <c r="J2" s="514"/>
      <c r="K2" s="515"/>
      <c r="L2" s="513" t="s">
        <v>44</v>
      </c>
      <c r="M2" s="514"/>
      <c r="N2" s="515"/>
      <c r="O2" s="124" t="s">
        <v>43</v>
      </c>
      <c r="P2" s="511" t="s">
        <v>127</v>
      </c>
      <c r="Q2" s="512"/>
      <c r="R2" s="513" t="s">
        <v>151</v>
      </c>
      <c r="S2" s="514"/>
      <c r="T2" s="514"/>
      <c r="U2" s="514"/>
      <c r="V2" s="514"/>
      <c r="W2" s="515"/>
      <c r="X2" s="525" t="s">
        <v>274</v>
      </c>
      <c r="Y2" s="526"/>
      <c r="Z2" s="511" t="s">
        <v>273</v>
      </c>
      <c r="AA2" s="512"/>
    </row>
    <row r="3" spans="1:27" s="125" customFormat="1" ht="12.75" x14ac:dyDescent="0.2">
      <c r="B3" s="404"/>
      <c r="C3" s="237"/>
      <c r="E3" s="319"/>
      <c r="G3" s="126"/>
      <c r="H3" s="97" t="s">
        <v>57</v>
      </c>
      <c r="I3" s="516" t="s">
        <v>58</v>
      </c>
      <c r="J3" s="517"/>
      <c r="K3" s="518"/>
      <c r="L3" s="516" t="s">
        <v>61</v>
      </c>
      <c r="M3" s="517"/>
      <c r="N3" s="518"/>
      <c r="O3" s="98" t="s">
        <v>59</v>
      </c>
      <c r="P3" s="504" t="s">
        <v>60</v>
      </c>
      <c r="Q3" s="505"/>
      <c r="R3" s="516" t="s">
        <v>149</v>
      </c>
      <c r="S3" s="517"/>
      <c r="T3" s="517"/>
      <c r="U3" s="517"/>
      <c r="V3" s="517"/>
      <c r="W3" s="518"/>
      <c r="X3" s="527" t="s">
        <v>256</v>
      </c>
      <c r="Y3" s="528"/>
      <c r="Z3" s="504" t="s">
        <v>275</v>
      </c>
      <c r="AA3" s="505"/>
    </row>
    <row r="4" spans="1:27" s="125" customFormat="1" ht="15" customHeight="1" x14ac:dyDescent="0.2">
      <c r="B4" s="404"/>
      <c r="C4" s="237"/>
      <c r="E4" s="319"/>
      <c r="G4" s="291"/>
      <c r="H4" s="97" t="s">
        <v>224</v>
      </c>
      <c r="I4" s="516" t="s">
        <v>228</v>
      </c>
      <c r="J4" s="517"/>
      <c r="K4" s="518"/>
      <c r="L4" s="516" t="s">
        <v>225</v>
      </c>
      <c r="M4" s="517"/>
      <c r="N4" s="518"/>
      <c r="O4" s="98" t="s">
        <v>230</v>
      </c>
      <c r="P4" s="504" t="s">
        <v>221</v>
      </c>
      <c r="Q4" s="505"/>
      <c r="R4" s="516" t="s">
        <v>233</v>
      </c>
      <c r="S4" s="517"/>
      <c r="T4" s="517"/>
      <c r="U4" s="517"/>
      <c r="V4" s="517"/>
      <c r="W4" s="518"/>
      <c r="X4" s="527" t="s">
        <v>239</v>
      </c>
      <c r="Y4" s="528"/>
      <c r="Z4" s="504" t="s">
        <v>265</v>
      </c>
      <c r="AA4" s="505"/>
    </row>
    <row r="5" spans="1:27" s="125" customFormat="1" ht="12.75" x14ac:dyDescent="0.2">
      <c r="B5" s="237"/>
      <c r="C5" s="237"/>
      <c r="D5" s="126"/>
      <c r="E5" s="320"/>
      <c r="F5" s="126"/>
      <c r="G5" s="292"/>
      <c r="H5" s="267" t="s">
        <v>227</v>
      </c>
      <c r="I5" s="522" t="s">
        <v>227</v>
      </c>
      <c r="J5" s="523"/>
      <c r="K5" s="524"/>
      <c r="L5" s="522" t="s">
        <v>248</v>
      </c>
      <c r="M5" s="523"/>
      <c r="N5" s="524"/>
      <c r="O5" s="267" t="s">
        <v>249</v>
      </c>
      <c r="P5" s="506" t="s">
        <v>222</v>
      </c>
      <c r="Q5" s="507"/>
      <c r="R5" s="522" t="s">
        <v>261</v>
      </c>
      <c r="S5" s="523"/>
      <c r="T5" s="523"/>
      <c r="U5" s="523"/>
      <c r="V5" s="523"/>
      <c r="W5" s="524"/>
      <c r="X5" s="529" t="s">
        <v>232</v>
      </c>
      <c r="Y5" s="530"/>
      <c r="Z5" s="506" t="s">
        <v>266</v>
      </c>
      <c r="AA5" s="507"/>
    </row>
    <row r="6" spans="1:27" s="125" customFormat="1" ht="12.75" x14ac:dyDescent="0.2">
      <c r="B6" s="237"/>
      <c r="C6" s="237"/>
      <c r="D6" s="222"/>
      <c r="E6" s="321"/>
      <c r="F6" s="126"/>
      <c r="G6" s="291"/>
      <c r="H6" s="97" t="s">
        <v>235</v>
      </c>
      <c r="I6" s="516" t="s">
        <v>235</v>
      </c>
      <c r="J6" s="517"/>
      <c r="K6" s="518"/>
      <c r="L6" s="516" t="s">
        <v>237</v>
      </c>
      <c r="M6" s="517"/>
      <c r="N6" s="518"/>
      <c r="O6" s="98" t="s">
        <v>236</v>
      </c>
      <c r="P6" s="504" t="s">
        <v>223</v>
      </c>
      <c r="Q6" s="505"/>
      <c r="R6" s="516" t="s">
        <v>234</v>
      </c>
      <c r="S6" s="517"/>
      <c r="T6" s="517"/>
      <c r="U6" s="517"/>
      <c r="V6" s="517"/>
      <c r="W6" s="518"/>
      <c r="X6" s="527" t="s">
        <v>234</v>
      </c>
      <c r="Y6" s="528"/>
      <c r="Z6" s="504" t="s">
        <v>308</v>
      </c>
      <c r="AA6" s="505"/>
    </row>
    <row r="7" spans="1:27" s="125" customFormat="1" ht="12.75" x14ac:dyDescent="0.2">
      <c r="B7" s="237"/>
      <c r="C7" s="237"/>
      <c r="D7" s="222"/>
      <c r="E7" s="321"/>
      <c r="F7" s="126"/>
      <c r="G7" s="291"/>
      <c r="H7" s="293" t="s">
        <v>229</v>
      </c>
      <c r="I7" s="522" t="s">
        <v>229</v>
      </c>
      <c r="J7" s="523"/>
      <c r="K7" s="524"/>
      <c r="L7" s="522" t="s">
        <v>231</v>
      </c>
      <c r="M7" s="523"/>
      <c r="N7" s="524"/>
      <c r="O7" s="267" t="s">
        <v>251</v>
      </c>
      <c r="P7" s="506" t="s">
        <v>251</v>
      </c>
      <c r="Q7" s="507"/>
      <c r="R7" s="522" t="s">
        <v>226</v>
      </c>
      <c r="S7" s="523"/>
      <c r="T7" s="523"/>
      <c r="U7" s="523"/>
      <c r="V7" s="523"/>
      <c r="W7" s="524"/>
      <c r="X7" s="529" t="s">
        <v>240</v>
      </c>
      <c r="Y7" s="530"/>
      <c r="Z7" s="506" t="s">
        <v>240</v>
      </c>
      <c r="AA7" s="507"/>
    </row>
    <row r="8" spans="1:27" s="125" customFormat="1" ht="12.75" x14ac:dyDescent="0.2">
      <c r="B8" s="222"/>
      <c r="C8" s="222"/>
      <c r="D8" s="222"/>
      <c r="E8" s="321"/>
      <c r="F8" s="127"/>
      <c r="G8" s="126"/>
      <c r="H8" s="96" t="s">
        <v>442</v>
      </c>
      <c r="I8" s="519" t="s">
        <v>73</v>
      </c>
      <c r="J8" s="520"/>
      <c r="K8" s="521"/>
      <c r="L8" s="519" t="s">
        <v>72</v>
      </c>
      <c r="M8" s="520"/>
      <c r="N8" s="521"/>
      <c r="O8" s="95" t="s">
        <v>70</v>
      </c>
      <c r="P8" s="508" t="s">
        <v>71</v>
      </c>
      <c r="Q8" s="509"/>
      <c r="R8" s="519" t="s">
        <v>262</v>
      </c>
      <c r="S8" s="520"/>
      <c r="T8" s="520"/>
      <c r="U8" s="520"/>
      <c r="V8" s="520"/>
      <c r="W8" s="521"/>
      <c r="X8" s="532" t="s">
        <v>241</v>
      </c>
      <c r="Y8" s="533"/>
      <c r="Z8" s="508" t="s">
        <v>267</v>
      </c>
      <c r="AA8" s="509"/>
    </row>
    <row r="9" spans="1:27" s="7" customFormat="1" x14ac:dyDescent="0.25">
      <c r="B9" s="223"/>
      <c r="C9" s="223"/>
      <c r="D9" s="126"/>
      <c r="E9" s="320"/>
      <c r="F9" s="4"/>
      <c r="G9" s="4"/>
      <c r="H9" s="19" t="s">
        <v>10</v>
      </c>
      <c r="I9" s="15" t="s">
        <v>4</v>
      </c>
      <c r="J9" s="93" t="s">
        <v>10</v>
      </c>
      <c r="K9" s="15" t="s">
        <v>11</v>
      </c>
      <c r="L9" s="118" t="s">
        <v>4</v>
      </c>
      <c r="M9" s="93" t="s">
        <v>10</v>
      </c>
      <c r="N9" s="119" t="s">
        <v>11</v>
      </c>
      <c r="O9" s="19" t="s">
        <v>10</v>
      </c>
      <c r="P9" s="15" t="s">
        <v>11</v>
      </c>
      <c r="Q9" s="94" t="s">
        <v>10</v>
      </c>
      <c r="R9" s="132" t="s">
        <v>4</v>
      </c>
      <c r="S9" s="93" t="s">
        <v>10</v>
      </c>
      <c r="T9" s="145" t="s">
        <v>77</v>
      </c>
      <c r="U9" s="145" t="s">
        <v>76</v>
      </c>
      <c r="V9" s="154" t="s">
        <v>75</v>
      </c>
      <c r="W9" s="26" t="s">
        <v>11</v>
      </c>
      <c r="X9" s="15" t="s">
        <v>4</v>
      </c>
      <c r="Y9" s="94" t="s">
        <v>10</v>
      </c>
      <c r="Z9" s="15" t="s">
        <v>4</v>
      </c>
      <c r="AA9" s="94" t="s">
        <v>10</v>
      </c>
    </row>
    <row r="10" spans="1:27" s="1" customFormat="1" x14ac:dyDescent="0.25">
      <c r="A10" s="7"/>
      <c r="D10" s="4"/>
      <c r="E10" s="317"/>
      <c r="G10" s="10" t="s">
        <v>15</v>
      </c>
      <c r="H10" s="16">
        <v>8891635</v>
      </c>
      <c r="I10" s="6">
        <v>33877234.799999997</v>
      </c>
      <c r="J10" s="11">
        <v>188206.86</v>
      </c>
      <c r="K10" s="6">
        <v>3575930.34</v>
      </c>
      <c r="L10" s="20">
        <v>140459226.30000001</v>
      </c>
      <c r="M10" s="11">
        <v>569718</v>
      </c>
      <c r="N10" s="21">
        <v>15036862.699999999</v>
      </c>
      <c r="O10" s="16">
        <v>3799848</v>
      </c>
      <c r="P10" s="6">
        <v>6869209</v>
      </c>
      <c r="Q10" s="27">
        <v>200000</v>
      </c>
      <c r="R10" s="133">
        <v>315505044</v>
      </c>
      <c r="S10" s="11">
        <v>1752805</v>
      </c>
      <c r="T10" s="146">
        <v>17528057</v>
      </c>
      <c r="U10" s="146">
        <v>3505612</v>
      </c>
      <c r="V10" s="146">
        <v>3505612</v>
      </c>
      <c r="W10" s="27">
        <v>8764029</v>
      </c>
      <c r="X10" s="6">
        <v>1722177.75</v>
      </c>
      <c r="Y10" s="27">
        <v>574059.25</v>
      </c>
      <c r="Z10" s="6">
        <v>6498664</v>
      </c>
      <c r="AA10" s="27">
        <v>200000</v>
      </c>
    </row>
    <row r="11" spans="1:27" s="1" customFormat="1" x14ac:dyDescent="0.25">
      <c r="A11" s="7"/>
      <c r="D11" s="4"/>
      <c r="E11" s="317"/>
      <c r="G11" s="10" t="s">
        <v>14</v>
      </c>
      <c r="H11" s="16">
        <f>+H37</f>
        <v>7981362.2639404694</v>
      </c>
      <c r="I11" s="6">
        <f t="shared" ref="I11:Q11" si="0">+I37</f>
        <v>33877234.799999997</v>
      </c>
      <c r="J11" s="11">
        <f t="shared" si="0"/>
        <v>171849.089894025</v>
      </c>
      <c r="K11" s="6">
        <f t="shared" si="0"/>
        <v>3222052.0500000003</v>
      </c>
      <c r="L11" s="20">
        <f>+L37</f>
        <v>140459226.30000001</v>
      </c>
      <c r="M11" s="11">
        <f>+M37</f>
        <v>534939.63383254001</v>
      </c>
      <c r="N11" s="21">
        <f>+N37</f>
        <v>13498587.449999999</v>
      </c>
      <c r="O11" s="16">
        <f t="shared" si="0"/>
        <v>3752945.5123822503</v>
      </c>
      <c r="P11" s="6">
        <f t="shared" si="0"/>
        <v>6787505.8700000001</v>
      </c>
      <c r="Q11" s="27">
        <f t="shared" si="0"/>
        <v>185486.49074981999</v>
      </c>
      <c r="R11" s="133">
        <f t="shared" ref="R11:W11" si="1">R37</f>
        <v>315505044</v>
      </c>
      <c r="S11" s="11">
        <f t="shared" si="1"/>
        <v>1395936.6530620749</v>
      </c>
      <c r="T11" s="146">
        <f t="shared" si="1"/>
        <v>17528057</v>
      </c>
      <c r="U11" s="146">
        <f t="shared" si="1"/>
        <v>3505612</v>
      </c>
      <c r="V11" s="146">
        <f t="shared" si="1"/>
        <v>3505612</v>
      </c>
      <c r="W11" s="27">
        <f t="shared" si="1"/>
        <v>7866708.6600000001</v>
      </c>
      <c r="X11" s="6">
        <f>+X37</f>
        <v>1722177.75</v>
      </c>
      <c r="Y11" s="27">
        <f>+Y37</f>
        <v>547468.31941657001</v>
      </c>
      <c r="Z11" s="6">
        <f>+Z37</f>
        <v>1799478.1099999999</v>
      </c>
      <c r="AA11" s="27">
        <f>+AA37</f>
        <v>205817.20756040001</v>
      </c>
    </row>
    <row r="12" spans="1:27" s="1" customFormat="1" x14ac:dyDescent="0.25">
      <c r="A12" s="7"/>
      <c r="D12" s="4"/>
      <c r="E12" s="317"/>
      <c r="G12" s="10" t="s">
        <v>16</v>
      </c>
      <c r="H12" s="17">
        <f>H10-H11</f>
        <v>910272.73605953064</v>
      </c>
      <c r="I12" s="14">
        <f t="shared" ref="I12:W12" si="2">I10-I11</f>
        <v>0</v>
      </c>
      <c r="J12" s="13">
        <f t="shared" si="2"/>
        <v>16357.770105974982</v>
      </c>
      <c r="K12" s="14">
        <f t="shared" si="2"/>
        <v>353878.28999999957</v>
      </c>
      <c r="L12" s="22">
        <f>L10-L11</f>
        <v>0</v>
      </c>
      <c r="M12" s="13">
        <f>M10-M11</f>
        <v>34778.366167459986</v>
      </c>
      <c r="N12" s="23">
        <f>N10-N11</f>
        <v>1538275.25</v>
      </c>
      <c r="O12" s="17">
        <f t="shared" si="2"/>
        <v>46902.487617749721</v>
      </c>
      <c r="P12" s="14">
        <f t="shared" si="2"/>
        <v>81703.129999999888</v>
      </c>
      <c r="Q12" s="28">
        <f t="shared" si="2"/>
        <v>14513.50925018001</v>
      </c>
      <c r="R12" s="134">
        <f t="shared" si="2"/>
        <v>0</v>
      </c>
      <c r="S12" s="13">
        <f t="shared" si="2"/>
        <v>356868.34693792509</v>
      </c>
      <c r="T12" s="13">
        <f t="shared" si="2"/>
        <v>0</v>
      </c>
      <c r="U12" s="13">
        <f t="shared" si="2"/>
        <v>0</v>
      </c>
      <c r="V12" s="13">
        <f t="shared" si="2"/>
        <v>0</v>
      </c>
      <c r="W12" s="28">
        <f t="shared" si="2"/>
        <v>897320.33999999985</v>
      </c>
      <c r="X12" s="14">
        <f>X10-X11</f>
        <v>0</v>
      </c>
      <c r="Y12" s="28">
        <f>Y10-Y11</f>
        <v>26590.930583429988</v>
      </c>
      <c r="Z12" s="14">
        <f>Z10-Z11</f>
        <v>4699185.8900000006</v>
      </c>
      <c r="AA12" s="28">
        <f>AA10-AA11</f>
        <v>-5817.2075604000129</v>
      </c>
    </row>
    <row r="13" spans="1:27" s="1" customFormat="1" x14ac:dyDescent="0.25">
      <c r="A13" s="7"/>
      <c r="D13" s="4"/>
      <c r="E13" s="317"/>
      <c r="H13" s="16"/>
      <c r="I13" s="6"/>
      <c r="J13" s="11"/>
      <c r="K13" s="6"/>
      <c r="L13" s="20"/>
      <c r="M13" s="11"/>
      <c r="N13" s="21"/>
      <c r="O13" s="16"/>
      <c r="P13" s="6"/>
      <c r="Q13" s="27"/>
      <c r="R13" s="133"/>
      <c r="S13" s="11"/>
      <c r="T13" s="146"/>
      <c r="U13" s="146"/>
      <c r="V13" s="146"/>
      <c r="W13" s="27"/>
      <c r="X13" s="6"/>
      <c r="Y13" s="27"/>
      <c r="Z13" s="6"/>
      <c r="AA13" s="27"/>
    </row>
    <row r="14" spans="1:27" s="1" customFormat="1" x14ac:dyDescent="0.25">
      <c r="A14" s="33" t="s">
        <v>19</v>
      </c>
      <c r="B14" s="30" t="s">
        <v>37</v>
      </c>
      <c r="C14" s="30"/>
      <c r="D14" s="30"/>
      <c r="E14" s="322"/>
      <c r="F14" s="30"/>
      <c r="G14" s="30"/>
      <c r="H14" s="18"/>
      <c r="I14" s="9"/>
      <c r="J14" s="12"/>
      <c r="K14" s="9"/>
      <c r="L14" s="24"/>
      <c r="M14" s="12"/>
      <c r="N14" s="25"/>
      <c r="O14" s="18"/>
      <c r="P14" s="9"/>
      <c r="Q14" s="29"/>
      <c r="R14" s="135"/>
      <c r="S14" s="12"/>
      <c r="T14" s="147"/>
      <c r="U14" s="147"/>
      <c r="V14" s="147"/>
      <c r="W14" s="29"/>
      <c r="X14" s="9"/>
      <c r="Y14" s="29"/>
      <c r="Z14" s="9"/>
      <c r="AA14" s="29"/>
    </row>
    <row r="15" spans="1:27" s="1" customFormat="1" x14ac:dyDescent="0.25">
      <c r="A15" s="33">
        <v>20</v>
      </c>
      <c r="B15" s="90" t="s">
        <v>31</v>
      </c>
      <c r="C15" s="90"/>
      <c r="D15" s="32"/>
      <c r="E15" s="323"/>
      <c r="F15" s="90"/>
      <c r="G15" s="31"/>
      <c r="H15" s="18">
        <f>SUMIFS('Form 11''s Entry'!$C:$C,'Form 11''s Entry'!$A:$A,$A15)+SUMIFS('Prior Yr Expenses Entry'!$C:$C,'Prior Yr Expenses Entry'!$A:$A,$A15)</f>
        <v>1500</v>
      </c>
      <c r="I15" s="135">
        <f>SUMIFS('Form 11''s Entry'!$D:$D,'Form 11''s Entry'!$A:$A,$A15)+SUMIFS('Prior Yr Expenses Entry'!$D:$D,'Prior Yr Expenses Entry'!$A:$A,$A15)</f>
        <v>0</v>
      </c>
      <c r="J15" s="202">
        <f>SUMIFS('Form 11''s Entry'!$E:$E,'Form 11''s Entry'!$A:$A,$A15)+SUMIFS('Prior Yr Expenses Entry'!$E:$E,'Prior Yr Expenses Entry'!$A:$A,$A15)</f>
        <v>2682.92</v>
      </c>
      <c r="K15" s="9">
        <f>SUMIFS('Form 11''s Entry'!$F:$F,'Form 11''s Entry'!$A:$A,$A15)+SUMIFS('Prior Yr Expenses Entry'!$F:$F,'Prior Yr Expenses Entry'!$A:$A,$A15)</f>
        <v>3224.07</v>
      </c>
      <c r="L15" s="24">
        <f>SUMIFS('Form 11''s Entry'!$G:$G,'Form 11''s Entry'!$A:$A,$A15)+SUMIFS('Form 11''s Entry'!$G:$G,'Form 11''s Entry'!$A:$A,$A15)</f>
        <v>0</v>
      </c>
      <c r="M15" s="12">
        <f>SUMIFS('Form 11''s Entry'!$H:$H,'Form 11''s Entry'!$A:$A,$A15)+SUMIFS('Prior Yr Expenses Entry'!$H:$H,'Prior Yr Expenses Entry'!$A:$A,$A15)</f>
        <v>680.96</v>
      </c>
      <c r="N15" s="25">
        <f>SUMIFS('Form 11''s Entry'!$I:$I,'Form 11''s Entry'!$A:$A,$A15)+SUMIFS('Prior Yr Expenses Entry'!$I:$I,'Prior Yr Expenses Entry'!$A:$A,$A15)</f>
        <v>0</v>
      </c>
      <c r="O15" s="18">
        <f>SUMIFS('Form 11''s Entry'!$J:$J,'Form 11''s Entry'!$A:$A,$A15)+SUMIFS('Prior Yr Expenses Entry'!$J:$J,'Prior Yr Expenses Entry'!$A:$A,$A15)</f>
        <v>647.16</v>
      </c>
      <c r="P15" s="9">
        <f>SUMIFS('Form 11''s Entry'!$K:$K,'Form 11''s Entry'!$A:$A,$A15)+SUMIFS('Prior Yr Expenses Entry'!$K:$K,'Prior Yr Expenses Entry'!$A:$A,$A15)</f>
        <v>0</v>
      </c>
      <c r="Q15" s="29">
        <f>SUMIFS('Form 11''s Entry'!$L:$L,'Form 11''s Entry'!$A:$A,$A15)+SUMIFS('Prior Yr Expenses Entry'!$L:$L,'Prior Yr Expenses Entry'!$A:$A,$A15)</f>
        <v>0</v>
      </c>
      <c r="R15" s="135">
        <f>SUMIFS('Form 11''s Entry'!$M:$M,'Form 11''s Entry'!$A:$A,$A15)+SUMIFS('Prior Yr Expenses Entry'!$M:$M,'Prior Yr Expenses Entry'!$A:$A,$A15)</f>
        <v>0</v>
      </c>
      <c r="S15" s="12">
        <f>SUMIFS('Form 11''s Entry'!$N:$N,'Form 11''s Entry'!$A:$A,$A15)+SUMIFS('Prior Yr Expenses Entry'!$N:$N,'Prior Yr Expenses Entry'!$A:$A,$A15)</f>
        <v>4491.9799999999996</v>
      </c>
      <c r="T15" s="147">
        <f>SUMIFS('Form 11''s Entry'!$O:$O,'Form 11''s Entry'!$A:$A,$A15)+SUMIFS('Prior Yr Expenses Entry'!$O:$O,'Prior Yr Expenses Entry'!$A:$A,$A15)</f>
        <v>0</v>
      </c>
      <c r="U15" s="147">
        <f>SUMIFS('Form 11''s Entry'!$P:$P,'Form 11''s Entry'!$A:$A,$A15)+SUMIFS('Prior Yr Expenses Entry'!$P:$P,'Prior Yr Expenses Entry'!$A:$A,$A15)</f>
        <v>0</v>
      </c>
      <c r="V15" s="147">
        <f>SUMIFS('Form 11''s Entry'!$Q:$Q,'Form 11''s Entry'!$A:$A,$A15)+SUMIFS('Prior Yr Expenses Entry'!$Q:$Q,'Prior Yr Expenses Entry'!$A:$A,$A15)</f>
        <v>0</v>
      </c>
      <c r="W15" s="29">
        <f>SUMIFS('Form 11''s Entry'!$R:$R,'Form 11''s Entry'!$A:$A,$A15)+SUMIFS('Prior Yr Expenses Entry'!$R:$R,'Prior Yr Expenses Entry'!$A:$A,$A15)</f>
        <v>0</v>
      </c>
      <c r="X15" s="9">
        <f>SUMIFS('Form 11''s Entry'!$S:$S,'Form 11''s Entry'!$A:$A,$A15)+SUMIFS('Prior Yr Expenses Entry'!$S:$S,'Prior Yr Expenses Entry'!$A:$A,$A15)</f>
        <v>0</v>
      </c>
      <c r="Y15" s="29">
        <f>SUMIFS('Form 11''s Entry'!$T:$T,'Form 11''s Entry'!$A:$A,$A15)+SUMIFS('Prior Yr Expenses Entry'!$T:$T,'Prior Yr Expenses Entry'!$A:$A,$A15)</f>
        <v>1600.23</v>
      </c>
      <c r="Z15" s="9">
        <f>SUMIFS('Form 11''s Entry'!$U:$U,'Form 11''s Entry'!$A:$A,$A15)+SUMIFS('Prior Yr Expenses Entry'!$U:$U,'Prior Yr Expenses Entry'!$A:$A,$A15)</f>
        <v>0</v>
      </c>
      <c r="AA15" s="29">
        <f>SUMIFS('Form 11''s Entry'!$V:$V,'Form 11''s Entry'!$A:$A,$A15)+SUMIFS('Prior Yr Expenses Entry'!$V:$V,'Prior Yr Expenses Entry'!$A:$A,$A15)</f>
        <v>800</v>
      </c>
    </row>
    <row r="16" spans="1:27" s="1" customFormat="1" x14ac:dyDescent="0.25">
      <c r="A16" s="33">
        <v>27</v>
      </c>
      <c r="B16" s="90" t="s">
        <v>20</v>
      </c>
      <c r="C16" s="90"/>
      <c r="D16" s="32"/>
      <c r="E16" s="323"/>
      <c r="F16" s="90"/>
      <c r="G16" s="31"/>
      <c r="H16" s="18">
        <f>SUMIFS('Form 11''s Entry'!$C:$C,'Form 11''s Entry'!$A:$A,$A16)+SUMIFS('Prior Yr Expenses Entry'!$C:$C,'Form 11''s Entry'!$A:$A,$A16)</f>
        <v>900</v>
      </c>
      <c r="I16" s="135">
        <f>SUMIFS('Form 11''s Entry'!$D:$D,'Form 11''s Entry'!$A:$A,$A16)+SUMIFS('Prior Yr Expenses Entry'!$D:$D,'Prior Yr Expenses Entry'!$A:$A,$A16)</f>
        <v>0</v>
      </c>
      <c r="J16" s="202">
        <f>SUMIFS('Form 11''s Entry'!$E:$E,'Form 11''s Entry'!$A:$A,$A16)+SUMIFS('Prior Yr Expenses Entry'!$E:$E,'Prior Yr Expenses Entry'!$A:$A,$A16)</f>
        <v>191.26</v>
      </c>
      <c r="K16" s="9">
        <f>SUMIFS('Form 11''s Entry'!$F:$F,'Form 11''s Entry'!$A:$A,$A16)+SUMIFS('Prior Yr Expenses Entry'!$F:$F,'Prior Yr Expenses Entry'!$A:$A,$A16)</f>
        <v>0</v>
      </c>
      <c r="L16" s="24">
        <f>SUMIFS('Form 11''s Entry'!$G:$G,'Form 11''s Entry'!$A:$A,$A16)+SUMIFS('Form 11''s Entry'!$G:$G,'Form 11''s Entry'!$A:$A,$A16)</f>
        <v>0</v>
      </c>
      <c r="M16" s="12">
        <f>SUMIFS('Form 11''s Entry'!$H:$H,'Form 11''s Entry'!$A:$A,$A16)+SUMIFS('Prior Yr Expenses Entry'!$H:$H,'Prior Yr Expenses Entry'!$A:$A,$A16)</f>
        <v>967.28</v>
      </c>
      <c r="N16" s="25">
        <f>SUMIFS('Form 11''s Entry'!$I:$I,'Form 11''s Entry'!$A:$A,$A16)+SUMIFS('Prior Yr Expenses Entry'!$I:$I,'Prior Yr Expenses Entry'!$A:$A,$A16)</f>
        <v>0</v>
      </c>
      <c r="O16" s="18">
        <f>SUMIFS('Form 11''s Entry'!$J:$J,'Form 11''s Entry'!$A:$A,$A16)+SUMIFS('Prior Yr Expenses Entry'!$J:$J,'Prior Yr Expenses Entry'!$A:$A,$A16)</f>
        <v>3600</v>
      </c>
      <c r="P16" s="9">
        <f>SUMIFS('Form 11''s Entry'!$K:$K,'Form 11''s Entry'!$A:$A,$A16)+SUMIFS('Prior Yr Expenses Entry'!$K:$K,'Prior Yr Expenses Entry'!$A:$A,$A16)</f>
        <v>0</v>
      </c>
      <c r="Q16" s="29">
        <f>SUMIFS('Form 11''s Entry'!$L:$L,'Form 11''s Entry'!$A:$A,$A16)+SUMIFS('Prior Yr Expenses Entry'!$L:$L,'Prior Yr Expenses Entry'!$A:$A,$A16)</f>
        <v>0</v>
      </c>
      <c r="R16" s="135">
        <f>SUMIFS('Form 11''s Entry'!$M:$M,'Form 11''s Entry'!$A:$A,$A16)+SUMIFS('Prior Yr Expenses Entry'!$M:$M,'Prior Yr Expenses Entry'!$A:$A,$A16)</f>
        <v>0</v>
      </c>
      <c r="S16" s="12">
        <f>SUMIFS('Form 11''s Entry'!$N:$N,'Form 11''s Entry'!$A:$A,$A16)+SUMIFS('Prior Yr Expenses Entry'!$N:$N,'Prior Yr Expenses Entry'!$A:$A,$A16)</f>
        <v>35051.9</v>
      </c>
      <c r="T16" s="147">
        <f>SUMIFS('Form 11''s Entry'!$O:$O,'Form 11''s Entry'!$A:$A,$A16)+SUMIFS('Prior Yr Expenses Entry'!$O:$O,'Prior Yr Expenses Entry'!$A:$A,$A16)</f>
        <v>0</v>
      </c>
      <c r="U16" s="147">
        <f>SUMIFS('Form 11''s Entry'!$P:$P,'Form 11''s Entry'!$A:$A,$A16)+SUMIFS('Prior Yr Expenses Entry'!$P:$P,'Prior Yr Expenses Entry'!$A:$A,$A16)</f>
        <v>0</v>
      </c>
      <c r="V16" s="147">
        <f>SUMIFS('Form 11''s Entry'!$Q:$Q,'Form 11''s Entry'!$A:$A,$A16)+SUMIFS('Prior Yr Expenses Entry'!$Q:$Q,'Prior Yr Expenses Entry'!$A:$A,$A16)</f>
        <v>0</v>
      </c>
      <c r="W16" s="29">
        <f>SUMIFS('Form 11''s Entry'!$R:$R,'Form 11''s Entry'!$A:$A,$A16)+SUMIFS('Prior Yr Expenses Entry'!$R:$R,'Prior Yr Expenses Entry'!$A:$A,$A16)</f>
        <v>0</v>
      </c>
      <c r="X16" s="9">
        <f>SUMIFS('Form 11''s Entry'!$S:$S,'Form 11''s Entry'!$A:$A,$A16)+SUMIFS('Prior Yr Expenses Entry'!$S:$S,'Prior Yr Expenses Entry'!$A:$A,$A16)</f>
        <v>0</v>
      </c>
      <c r="Y16" s="29">
        <f>SUMIFS('Form 11''s Entry'!$T:$T,'Form 11''s Entry'!$A:$A,$A16)+SUMIFS('Prior Yr Expenses Entry'!$T:$T,'Prior Yr Expenses Entry'!$A:$A,$A16)</f>
        <v>0</v>
      </c>
      <c r="Z16" s="9">
        <f>SUMIFS('Form 11''s Entry'!$U:$U,'Form 11''s Entry'!$A:$A,$A16)+SUMIFS('Prior Yr Expenses Entry'!$U:$U,'Prior Yr Expenses Entry'!$A:$A,$A16)</f>
        <v>0</v>
      </c>
      <c r="AA16" s="29">
        <f>SUMIFS('Form 11''s Entry'!$V:$V,'Form 11''s Entry'!$A:$A,$A16)+SUMIFS('Prior Yr Expenses Entry'!$V:$V,'Prior Yr Expenses Entry'!$A:$A,$A16)</f>
        <v>0</v>
      </c>
    </row>
    <row r="17" spans="1:30" s="1" customFormat="1" x14ac:dyDescent="0.25">
      <c r="A17" s="33">
        <v>28</v>
      </c>
      <c r="B17" s="90" t="s">
        <v>21</v>
      </c>
      <c r="C17" s="90"/>
      <c r="D17" s="32"/>
      <c r="E17" s="323"/>
      <c r="F17" s="90"/>
      <c r="G17" s="31"/>
      <c r="H17" s="18">
        <f>SUMIFS('Form 11''s Entry'!$C:$C,'Form 11''s Entry'!$A:$A,$A17)+SUMIFS('Prior Yr Expenses Entry'!$C:$C,'Form 11''s Entry'!$A:$A,$A17)</f>
        <v>675</v>
      </c>
      <c r="I17" s="135">
        <f>SUMIFS('Form 11''s Entry'!$D:$D,'Form 11''s Entry'!$A:$A,$A17)+SUMIFS('Prior Yr Expenses Entry'!$D:$D,'Prior Yr Expenses Entry'!$A:$A,$A17)</f>
        <v>0</v>
      </c>
      <c r="J17" s="202">
        <f>SUMIFS('Form 11''s Entry'!$E:$E,'Form 11''s Entry'!$A:$A,$A17)+SUMIFS('Prior Yr Expenses Entry'!$E:$E,'Prior Yr Expenses Entry'!$A:$A,$A17)</f>
        <v>0</v>
      </c>
      <c r="K17" s="9">
        <f>SUMIFS('Form 11''s Entry'!$F:$F,'Form 11''s Entry'!$A:$A,$A17)+SUMIFS('Prior Yr Expenses Entry'!$F:$F,'Prior Yr Expenses Entry'!$A:$A,$A17)</f>
        <v>0</v>
      </c>
      <c r="L17" s="24">
        <f>SUMIFS('Form 11''s Entry'!$G:$G,'Form 11''s Entry'!$A:$A,$A17)+SUMIFS('Form 11''s Entry'!$G:$G,'Form 11''s Entry'!$A:$A,$A17)</f>
        <v>0</v>
      </c>
      <c r="M17" s="12">
        <f>SUMIFS('Form 11''s Entry'!$H:$H,'Form 11''s Entry'!$A:$A,$A17)+SUMIFS('Prior Yr Expenses Entry'!$H:$H,'Prior Yr Expenses Entry'!$A:$A,$A17)</f>
        <v>0</v>
      </c>
      <c r="N17" s="25">
        <f>SUMIFS('Form 11''s Entry'!$I:$I,'Form 11''s Entry'!$A:$A,$A17)+SUMIFS('Prior Yr Expenses Entry'!$I:$I,'Prior Yr Expenses Entry'!$A:$A,$A17)</f>
        <v>0</v>
      </c>
      <c r="O17" s="18">
        <f>SUMIFS('Form 11''s Entry'!$J:$J,'Form 11''s Entry'!$A:$A,$A17)+SUMIFS('Prior Yr Expenses Entry'!$J:$J,'Prior Yr Expenses Entry'!$A:$A,$A17)</f>
        <v>2700</v>
      </c>
      <c r="P17" s="9">
        <f>SUMIFS('Form 11''s Entry'!$K:$K,'Form 11''s Entry'!$A:$A,$A17)+SUMIFS('Prior Yr Expenses Entry'!$K:$K,'Prior Yr Expenses Entry'!$A:$A,$A17)</f>
        <v>0</v>
      </c>
      <c r="Q17" s="29">
        <f>SUMIFS('Form 11''s Entry'!$L:$L,'Form 11''s Entry'!$A:$A,$A17)+SUMIFS('Prior Yr Expenses Entry'!$L:$L,'Prior Yr Expenses Entry'!$A:$A,$A17)</f>
        <v>0</v>
      </c>
      <c r="R17" s="135">
        <f>SUMIFS('Form 11''s Entry'!$M:$M,'Form 11''s Entry'!$A:$A,$A17)+SUMIFS('Prior Yr Expenses Entry'!$M:$M,'Prior Yr Expenses Entry'!$A:$A,$A17)</f>
        <v>0</v>
      </c>
      <c r="S17" s="12">
        <f>SUMIFS('Form 11''s Entry'!$N:$N,'Form 11''s Entry'!$A:$A,$A17)+SUMIFS('Prior Yr Expenses Entry'!$N:$N,'Prior Yr Expenses Entry'!$A:$A,$A17)</f>
        <v>26978.68</v>
      </c>
      <c r="T17" s="147">
        <f>SUMIFS('Form 11''s Entry'!$O:$O,'Form 11''s Entry'!$A:$A,$A17)+SUMIFS('Prior Yr Expenses Entry'!$O:$O,'Prior Yr Expenses Entry'!$A:$A,$A17)</f>
        <v>0</v>
      </c>
      <c r="U17" s="147">
        <f>SUMIFS('Form 11''s Entry'!$P:$P,'Form 11''s Entry'!$A:$A,$A17)+SUMIFS('Prior Yr Expenses Entry'!$P:$P,'Prior Yr Expenses Entry'!$A:$A,$A17)</f>
        <v>0</v>
      </c>
      <c r="V17" s="147">
        <f>SUMIFS('Form 11''s Entry'!$Q:$Q,'Form 11''s Entry'!$A:$A,$A17)+SUMIFS('Prior Yr Expenses Entry'!$Q:$Q,'Prior Yr Expenses Entry'!$A:$A,$A17)</f>
        <v>0</v>
      </c>
      <c r="W17" s="29">
        <f>SUMIFS('Form 11''s Entry'!$R:$R,'Form 11''s Entry'!$A:$A,$A17)+SUMIFS('Prior Yr Expenses Entry'!$R:$R,'Prior Yr Expenses Entry'!$A:$A,$A17)</f>
        <v>0</v>
      </c>
      <c r="X17" s="9">
        <f>SUMIFS('Form 11''s Entry'!$S:$S,'Form 11''s Entry'!$A:$A,$A17)+SUMIFS('Prior Yr Expenses Entry'!$S:$S,'Prior Yr Expenses Entry'!$A:$A,$A17)</f>
        <v>0</v>
      </c>
      <c r="Y17" s="29">
        <f>SUMIFS('Form 11''s Entry'!$T:$T,'Form 11''s Entry'!$A:$A,$A17)+SUMIFS('Prior Yr Expenses Entry'!$T:$T,'Prior Yr Expenses Entry'!$A:$A,$A17)</f>
        <v>0</v>
      </c>
      <c r="Z17" s="9">
        <f>SUMIFS('Form 11''s Entry'!$U:$U,'Form 11''s Entry'!$A:$A,$A17)+SUMIFS('Prior Yr Expenses Entry'!$U:$U,'Prior Yr Expenses Entry'!$A:$A,$A17)</f>
        <v>0</v>
      </c>
      <c r="AA17" s="29">
        <f>SUMIFS('Form 11''s Entry'!$V:$V,'Form 11''s Entry'!$A:$A,$A17)+SUMIFS('Prior Yr Expenses Entry'!$V:$V,'Prior Yr Expenses Entry'!$A:$A,$A17)</f>
        <v>0</v>
      </c>
    </row>
    <row r="18" spans="1:30" s="1" customFormat="1" x14ac:dyDescent="0.25">
      <c r="A18" s="33">
        <v>29</v>
      </c>
      <c r="B18" s="90" t="s">
        <v>35</v>
      </c>
      <c r="C18" s="90"/>
      <c r="D18" s="32"/>
      <c r="E18" s="323"/>
      <c r="F18" s="90"/>
      <c r="G18" s="31"/>
      <c r="H18" s="18">
        <f>SUMIFS('Form 11''s Entry'!$C:$C,'Form 11''s Entry'!$A:$A,$A18)+SUMIFS('Prior Yr Expenses Entry'!$C:$C,'Form 11''s Entry'!$A:$A,$A18)</f>
        <v>6611.58</v>
      </c>
      <c r="I18" s="135">
        <f>SUMIFS('Form 11''s Entry'!$D:$D,'Form 11''s Entry'!$A:$A,$A18)+SUMIFS('Prior Yr Expenses Entry'!$D:$D,'Prior Yr Expenses Entry'!$A:$A,$A18)</f>
        <v>0</v>
      </c>
      <c r="J18" s="202">
        <f>SUMIFS('Form 11''s Entry'!$E:$E,'Form 11''s Entry'!$A:$A,$A18)+SUMIFS('Prior Yr Expenses Entry'!$E:$E,'Prior Yr Expenses Entry'!$A:$A,$A18)</f>
        <v>39414.5</v>
      </c>
      <c r="K18" s="9">
        <f>SUMIFS('Form 11''s Entry'!$F:$F,'Form 11''s Entry'!$A:$A,$A18)+SUMIFS('Prior Yr Expenses Entry'!$F:$F,'Prior Yr Expenses Entry'!$A:$A,$A18)</f>
        <v>0</v>
      </c>
      <c r="L18" s="24">
        <f>SUMIFS('Form 11''s Entry'!$G:$G,'Form 11''s Entry'!$A:$A,$A18)+SUMIFS('Form 11''s Entry'!$G:$G,'Form 11''s Entry'!$A:$A,$A18)</f>
        <v>0</v>
      </c>
      <c r="M18" s="12">
        <f>SUMIFS('Form 11''s Entry'!$H:$H,'Form 11''s Entry'!$A:$A,$A18)+SUMIFS('Prior Yr Expenses Entry'!$H:$H,'Prior Yr Expenses Entry'!$A:$A,$A18)</f>
        <v>70344.679999999993</v>
      </c>
      <c r="N18" s="25">
        <f>SUMIFS('Form 11''s Entry'!$I:$I,'Form 11''s Entry'!$A:$A,$A18)+SUMIFS('Prior Yr Expenses Entry'!$I:$I,'Prior Yr Expenses Entry'!$A:$A,$A18)</f>
        <v>0</v>
      </c>
      <c r="O18" s="18">
        <f>SUMIFS('Form 11''s Entry'!$J:$J,'Form 11''s Entry'!$A:$A,$A18)+SUMIFS('Prior Yr Expenses Entry'!$J:$J,'Prior Yr Expenses Entry'!$A:$A,$A18)</f>
        <v>7463.58</v>
      </c>
      <c r="P18" s="9">
        <f>SUMIFS('Form 11''s Entry'!$K:$K,'Form 11''s Entry'!$A:$A,$A18)+SUMIFS('Prior Yr Expenses Entry'!$K:$K,'Prior Yr Expenses Entry'!$A:$A,$A18)</f>
        <v>0</v>
      </c>
      <c r="Q18" s="29">
        <f>SUMIFS('Form 11''s Entry'!$L:$L,'Form 11''s Entry'!$A:$A,$A18)+SUMIFS('Prior Yr Expenses Entry'!$L:$L,'Prior Yr Expenses Entry'!$A:$A,$A18)</f>
        <v>4355.0200000000004</v>
      </c>
      <c r="R18" s="135">
        <f>SUMIFS('Form 11''s Entry'!$M:$M,'Form 11''s Entry'!$A:$A,$A18)+SUMIFS('Prior Yr Expenses Entry'!$M:$M,'Prior Yr Expenses Entry'!$A:$A,$A18)</f>
        <v>0</v>
      </c>
      <c r="S18" s="12">
        <f>SUMIFS('Form 11''s Entry'!$N:$N,'Form 11''s Entry'!$A:$A,$A18)+SUMIFS('Prior Yr Expenses Entry'!$N:$N,'Prior Yr Expenses Entry'!$A:$A,$A18)</f>
        <v>82507.520000000004</v>
      </c>
      <c r="T18" s="147">
        <f>SUMIFS('Form 11''s Entry'!$O:$O,'Form 11''s Entry'!$A:$A,$A18)+SUMIFS('Prior Yr Expenses Entry'!$O:$O,'Prior Yr Expenses Entry'!$A:$A,$A18)</f>
        <v>0</v>
      </c>
      <c r="U18" s="147">
        <f>SUMIFS('Form 11''s Entry'!$P:$P,'Form 11''s Entry'!$A:$A,$A18)+SUMIFS('Prior Yr Expenses Entry'!$P:$P,'Prior Yr Expenses Entry'!$A:$A,$A18)</f>
        <v>0</v>
      </c>
      <c r="V18" s="147">
        <f>SUMIFS('Form 11''s Entry'!$Q:$Q,'Form 11''s Entry'!$A:$A,$A18)+SUMIFS('Prior Yr Expenses Entry'!$Q:$Q,'Prior Yr Expenses Entry'!$A:$A,$A18)</f>
        <v>0</v>
      </c>
      <c r="W18" s="29">
        <f>SUMIFS('Form 11''s Entry'!$R:$R,'Form 11''s Entry'!$A:$A,$A18)+SUMIFS('Prior Yr Expenses Entry'!$R:$R,'Prior Yr Expenses Entry'!$A:$A,$A18)</f>
        <v>0</v>
      </c>
      <c r="X18" s="9">
        <f>SUMIFS('Form 11''s Entry'!$S:$S,'Form 11''s Entry'!$A:$A,$A18)+SUMIFS('Prior Yr Expenses Entry'!$S:$S,'Prior Yr Expenses Entry'!$A:$A,$A18)</f>
        <v>0</v>
      </c>
      <c r="Y18" s="29">
        <f>SUMIFS('Form 11''s Entry'!$T:$T,'Form 11''s Entry'!$A:$A,$A18)+SUMIFS('Prior Yr Expenses Entry'!$T:$T,'Prior Yr Expenses Entry'!$A:$A,$A18)</f>
        <v>4520.22</v>
      </c>
      <c r="Z18" s="9">
        <f>SUMIFS('Form 11''s Entry'!$U:$U,'Form 11''s Entry'!$A:$A,$A18)+SUMIFS('Prior Yr Expenses Entry'!$U:$U,'Prior Yr Expenses Entry'!$A:$A,$A18)</f>
        <v>0</v>
      </c>
      <c r="AA18" s="29">
        <f>SUMIFS('Form 11''s Entry'!$V:$V,'Form 11''s Entry'!$A:$A,$A18)+SUMIFS('Prior Yr Expenses Entry'!$V:$V,'Prior Yr Expenses Entry'!$A:$A,$A18)</f>
        <v>3183.45</v>
      </c>
    </row>
    <row r="19" spans="1:30" s="1" customFormat="1" x14ac:dyDescent="0.25">
      <c r="A19" s="33">
        <v>30</v>
      </c>
      <c r="B19" s="90" t="s">
        <v>32</v>
      </c>
      <c r="C19" s="90"/>
      <c r="D19" s="32"/>
      <c r="E19" s="323"/>
      <c r="F19" s="90"/>
      <c r="G19" s="31"/>
      <c r="H19" s="18">
        <f>SUMIFS('Form 11''s Entry'!$C:$C,'Form 11''s Entry'!$A:$A,$A19)+SUMIFS('Prior Yr Expenses Entry'!$C:$C,'Form 11''s Entry'!$A:$A,$A19)</f>
        <v>0</v>
      </c>
      <c r="I19" s="135">
        <f>SUMIFS('Form 11''s Entry'!$D:$D,'Form 11''s Entry'!$A:$A,$A19)+SUMIFS('Prior Yr Expenses Entry'!$D:$D,'Prior Yr Expenses Entry'!$A:$A,$A19)</f>
        <v>0</v>
      </c>
      <c r="J19" s="202">
        <f>SUMIFS('Form 11''s Entry'!$E:$E,'Form 11''s Entry'!$A:$A,$A19)+SUMIFS('Prior Yr Expenses Entry'!$E:$E,'Prior Yr Expenses Entry'!$A:$A,$A19)</f>
        <v>0</v>
      </c>
      <c r="K19" s="9">
        <f>SUMIFS('Form 11''s Entry'!$F:$F,'Form 11''s Entry'!$A:$A,$A19)+SUMIFS('Prior Yr Expenses Entry'!$F:$F,'Prior Yr Expenses Entry'!$A:$A,$A19)</f>
        <v>0</v>
      </c>
      <c r="L19" s="24">
        <f>SUMIFS('Form 11''s Entry'!$G:$G,'Form 11''s Entry'!$A:$A,$A19)+SUMIFS('Form 11''s Entry'!$G:$G,'Form 11''s Entry'!$A:$A,$A19)</f>
        <v>0</v>
      </c>
      <c r="M19" s="12">
        <f>SUMIFS('Form 11''s Entry'!$H:$H,'Form 11''s Entry'!$A:$A,$A19)+SUMIFS('Prior Yr Expenses Entry'!$H:$H,'Prior Yr Expenses Entry'!$A:$A,$A19)</f>
        <v>200</v>
      </c>
      <c r="N19" s="25">
        <f>SUMIFS('Form 11''s Entry'!$I:$I,'Form 11''s Entry'!$A:$A,$A19)+SUMIFS('Prior Yr Expenses Entry'!$I:$I,'Prior Yr Expenses Entry'!$A:$A,$A19)</f>
        <v>0</v>
      </c>
      <c r="O19" s="18">
        <f>SUMIFS('Form 11''s Entry'!$J:$J,'Form 11''s Entry'!$A:$A,$A19)+SUMIFS('Prior Yr Expenses Entry'!$J:$J,'Prior Yr Expenses Entry'!$A:$A,$A19)</f>
        <v>200</v>
      </c>
      <c r="P19" s="9">
        <f>SUMIFS('Form 11''s Entry'!$K:$K,'Form 11''s Entry'!$A:$A,$A19)+SUMIFS('Prior Yr Expenses Entry'!$K:$K,'Prior Yr Expenses Entry'!$A:$A,$A19)</f>
        <v>0</v>
      </c>
      <c r="Q19" s="29">
        <f>SUMIFS('Form 11''s Entry'!$L:$L,'Form 11''s Entry'!$A:$A,$A19)+SUMIFS('Prior Yr Expenses Entry'!$L:$L,'Prior Yr Expenses Entry'!$A:$A,$A19)</f>
        <v>0</v>
      </c>
      <c r="R19" s="135">
        <f>SUMIFS('Form 11''s Entry'!$M:$M,'Form 11''s Entry'!$A:$A,$A19)+SUMIFS('Prior Yr Expenses Entry'!$M:$M,'Prior Yr Expenses Entry'!$A:$A,$A19)</f>
        <v>0</v>
      </c>
      <c r="S19" s="12">
        <f>SUMIFS('Form 11''s Entry'!$N:$N,'Form 11''s Entry'!$A:$A,$A19)+SUMIFS('Prior Yr Expenses Entry'!$N:$N,'Prior Yr Expenses Entry'!$A:$A,$A19)</f>
        <v>300</v>
      </c>
      <c r="T19" s="147">
        <f>SUMIFS('Form 11''s Entry'!$O:$O,'Form 11''s Entry'!$A:$A,$A19)+SUMIFS('Prior Yr Expenses Entry'!$O:$O,'Prior Yr Expenses Entry'!$A:$A,$A19)</f>
        <v>0</v>
      </c>
      <c r="U19" s="147">
        <f>SUMIFS('Form 11''s Entry'!$P:$P,'Form 11''s Entry'!$A:$A,$A19)+SUMIFS('Prior Yr Expenses Entry'!$P:$P,'Prior Yr Expenses Entry'!$A:$A,$A19)</f>
        <v>0</v>
      </c>
      <c r="V19" s="147">
        <f>SUMIFS('Form 11''s Entry'!$Q:$Q,'Form 11''s Entry'!$A:$A,$A19)+SUMIFS('Prior Yr Expenses Entry'!$Q:$Q,'Prior Yr Expenses Entry'!$A:$A,$A19)</f>
        <v>0</v>
      </c>
      <c r="W19" s="29">
        <f>SUMIFS('Form 11''s Entry'!$R:$R,'Form 11''s Entry'!$A:$A,$A19)+SUMIFS('Prior Yr Expenses Entry'!$R:$R,'Prior Yr Expenses Entry'!$A:$A,$A19)</f>
        <v>0</v>
      </c>
      <c r="X19" s="9">
        <f>SUMIFS('Form 11''s Entry'!$S:$S,'Form 11''s Entry'!$A:$A,$A19)+SUMIFS('Prior Yr Expenses Entry'!$S:$S,'Prior Yr Expenses Entry'!$A:$A,$A19)</f>
        <v>0</v>
      </c>
      <c r="Y19" s="29">
        <f>SUMIFS('Form 11''s Entry'!$T:$T,'Form 11''s Entry'!$A:$A,$A19)+SUMIFS('Prior Yr Expenses Entry'!$T:$T,'Prior Yr Expenses Entry'!$A:$A,$A19)</f>
        <v>0</v>
      </c>
      <c r="Z19" s="9">
        <f>SUMIFS('Form 11''s Entry'!$U:$U,'Form 11''s Entry'!$A:$A,$A19)+SUMIFS('Prior Yr Expenses Entry'!$U:$U,'Prior Yr Expenses Entry'!$A:$A,$A19)</f>
        <v>0</v>
      </c>
      <c r="AA19" s="29">
        <f>SUMIFS('Form 11''s Entry'!$V:$V,'Form 11''s Entry'!$A:$A,$A19)+SUMIFS('Prior Yr Expenses Entry'!$V:$V,'Prior Yr Expenses Entry'!$A:$A,$A19)</f>
        <v>0</v>
      </c>
    </row>
    <row r="20" spans="1:30" s="1" customFormat="1" x14ac:dyDescent="0.25">
      <c r="A20" s="33">
        <v>37</v>
      </c>
      <c r="B20" s="90" t="s">
        <v>33</v>
      </c>
      <c r="C20" s="90"/>
      <c r="D20" s="32"/>
      <c r="E20" s="323"/>
      <c r="F20" s="90"/>
      <c r="G20" s="31"/>
      <c r="H20" s="18">
        <f>SUMIFS('Form 11''s Entry'!$C:$C,'Form 11''s Entry'!$A:$A,$A20)+SUMIFS('Prior Yr Expenses Entry'!$C:$C,'Form 11''s Entry'!$A:$A,$A20)</f>
        <v>1961.98</v>
      </c>
      <c r="I20" s="135">
        <f>SUMIFS('Form 11''s Entry'!$D:$D,'Form 11''s Entry'!$A:$A,$A20)+SUMIFS('Prior Yr Expenses Entry'!$D:$D,'Prior Yr Expenses Entry'!$A:$A,$A20)</f>
        <v>0</v>
      </c>
      <c r="J20" s="202">
        <f>SUMIFS('Form 11''s Entry'!$E:$E,'Form 11''s Entry'!$A:$A,$A20)+SUMIFS('Prior Yr Expenses Entry'!$E:$E,'Prior Yr Expenses Entry'!$A:$A,$A20)</f>
        <v>0</v>
      </c>
      <c r="K20" s="9">
        <f>SUMIFS('Form 11''s Entry'!$F:$F,'Form 11''s Entry'!$A:$A,$A20)+SUMIFS('Prior Yr Expenses Entry'!$F:$F,'Prior Yr Expenses Entry'!$A:$A,$A20)</f>
        <v>0</v>
      </c>
      <c r="L20" s="24">
        <f>SUMIFS('Form 11''s Entry'!$G:$G,'Form 11''s Entry'!$A:$A,$A20)+SUMIFS('Form 11''s Entry'!$G:$G,'Form 11''s Entry'!$A:$A,$A20)</f>
        <v>0</v>
      </c>
      <c r="M20" s="12">
        <f>SUMIFS('Form 11''s Entry'!$H:$H,'Form 11''s Entry'!$A:$A,$A20)+SUMIFS('Prior Yr Expenses Entry'!$H:$H,'Prior Yr Expenses Entry'!$A:$A,$A20)</f>
        <v>2343.98</v>
      </c>
      <c r="N20" s="25">
        <f>SUMIFS('Form 11''s Entry'!$I:$I,'Form 11''s Entry'!$A:$A,$A20)+SUMIFS('Prior Yr Expenses Entry'!$I:$I,'Prior Yr Expenses Entry'!$A:$A,$A20)</f>
        <v>0</v>
      </c>
      <c r="O20" s="18">
        <f>SUMIFS('Form 11''s Entry'!$J:$J,'Form 11''s Entry'!$A:$A,$A20)+SUMIFS('Prior Yr Expenses Entry'!$J:$J,'Prior Yr Expenses Entry'!$A:$A,$A20)</f>
        <v>200</v>
      </c>
      <c r="P20" s="9">
        <f>SUMIFS('Form 11''s Entry'!$K:$K,'Form 11''s Entry'!$A:$A,$A20)+SUMIFS('Prior Yr Expenses Entry'!$K:$K,'Prior Yr Expenses Entry'!$A:$A,$A20)</f>
        <v>0</v>
      </c>
      <c r="Q20" s="29">
        <f>SUMIFS('Form 11''s Entry'!$L:$L,'Form 11''s Entry'!$A:$A,$A20)+SUMIFS('Prior Yr Expenses Entry'!$L:$L,'Prior Yr Expenses Entry'!$A:$A,$A20)</f>
        <v>0</v>
      </c>
      <c r="R20" s="135">
        <f>SUMIFS('Form 11''s Entry'!$M:$M,'Form 11''s Entry'!$A:$A,$A20)+SUMIFS('Prior Yr Expenses Entry'!$M:$M,'Prior Yr Expenses Entry'!$A:$A,$A20)</f>
        <v>0</v>
      </c>
      <c r="S20" s="12">
        <f>SUMIFS('Form 11''s Entry'!$N:$N,'Form 11''s Entry'!$A:$A,$A20)+SUMIFS('Prior Yr Expenses Entry'!$N:$N,'Prior Yr Expenses Entry'!$A:$A,$A20)</f>
        <v>15438.720000000001</v>
      </c>
      <c r="T20" s="147">
        <f>SUMIFS('Form 11''s Entry'!$O:$O,'Form 11''s Entry'!$A:$A,$A20)+SUMIFS('Prior Yr Expenses Entry'!$O:$O,'Prior Yr Expenses Entry'!$A:$A,$A20)</f>
        <v>0</v>
      </c>
      <c r="U20" s="147">
        <f>SUMIFS('Form 11''s Entry'!$P:$P,'Form 11''s Entry'!$A:$A,$A20)+SUMIFS('Prior Yr Expenses Entry'!$P:$P,'Prior Yr Expenses Entry'!$A:$A,$A20)</f>
        <v>0</v>
      </c>
      <c r="V20" s="147">
        <f>SUMIFS('Form 11''s Entry'!$Q:$Q,'Form 11''s Entry'!$A:$A,$A20)+SUMIFS('Prior Yr Expenses Entry'!$Q:$Q,'Prior Yr Expenses Entry'!$A:$A,$A20)</f>
        <v>0</v>
      </c>
      <c r="W20" s="29">
        <f>SUMIFS('Form 11''s Entry'!$R:$R,'Form 11''s Entry'!$A:$A,$A20)+SUMIFS('Prior Yr Expenses Entry'!$R:$R,'Prior Yr Expenses Entry'!$A:$A,$A20)</f>
        <v>0</v>
      </c>
      <c r="X20" s="9">
        <f>SUMIFS('Form 11''s Entry'!$S:$S,'Form 11''s Entry'!$A:$A,$A20)+SUMIFS('Prior Yr Expenses Entry'!$S:$S,'Prior Yr Expenses Entry'!$A:$A,$A20)</f>
        <v>0</v>
      </c>
      <c r="Y20" s="29">
        <f>SUMIFS('Form 11''s Entry'!$T:$T,'Form 11''s Entry'!$A:$A,$A20)+SUMIFS('Prior Yr Expenses Entry'!$T:$T,'Prior Yr Expenses Entry'!$A:$A,$A20)</f>
        <v>0</v>
      </c>
      <c r="Z20" s="9">
        <f>SUMIFS('Form 11''s Entry'!$U:$U,'Form 11''s Entry'!$A:$A,$A20)+SUMIFS('Prior Yr Expenses Entry'!$U:$U,'Prior Yr Expenses Entry'!$A:$A,$A20)</f>
        <v>0</v>
      </c>
      <c r="AA20" s="29">
        <f>SUMIFS('Form 11''s Entry'!$V:$V,'Form 11''s Entry'!$A:$A,$A20)+SUMIFS('Prior Yr Expenses Entry'!$V:$V,'Prior Yr Expenses Entry'!$A:$A,$A20)</f>
        <v>0</v>
      </c>
    </row>
    <row r="21" spans="1:30" s="1" customFormat="1" x14ac:dyDescent="0.25">
      <c r="A21" s="33">
        <v>38</v>
      </c>
      <c r="B21" s="90" t="s">
        <v>68</v>
      </c>
      <c r="C21" s="90"/>
      <c r="D21" s="32"/>
      <c r="E21" s="323"/>
      <c r="F21" s="90"/>
      <c r="G21" s="31"/>
      <c r="H21" s="18">
        <f>SUMIFS('Form 11''s Entry'!$C:$C,'Form 11''s Entry'!$A:$A,$A21)+SUMIFS('Prior Yr Expenses Entry'!$C:$C,'Form 11''s Entry'!$A:$A,$A21)</f>
        <v>175</v>
      </c>
      <c r="I21" s="135">
        <f>SUMIFS('Form 11''s Entry'!$D:$D,'Form 11''s Entry'!$A:$A,$A21)+SUMIFS('Prior Yr Expenses Entry'!$D:$D,'Prior Yr Expenses Entry'!$A:$A,$A21)</f>
        <v>0</v>
      </c>
      <c r="J21" s="202">
        <f>SUMIFS('Form 11''s Entry'!$E:$E,'Form 11''s Entry'!$A:$A,$A21)+SUMIFS('Prior Yr Expenses Entry'!$E:$E,'Prior Yr Expenses Entry'!$A:$A,$A21)</f>
        <v>0</v>
      </c>
      <c r="K21" s="9">
        <f>SUMIFS('Form 11''s Entry'!$F:$F,'Form 11''s Entry'!$A:$A,$A21)+SUMIFS('Prior Yr Expenses Entry'!$F:$F,'Prior Yr Expenses Entry'!$A:$A,$A21)</f>
        <v>0</v>
      </c>
      <c r="L21" s="24">
        <f>SUMIFS('Form 11''s Entry'!$G:$G,'Form 11''s Entry'!$A:$A,$A21)+SUMIFS('Form 11''s Entry'!$G:$G,'Form 11''s Entry'!$A:$A,$A21)</f>
        <v>0</v>
      </c>
      <c r="M21" s="12">
        <f>SUMIFS('Form 11''s Entry'!$H:$H,'Form 11''s Entry'!$A:$A,$A21)+SUMIFS('Prior Yr Expenses Entry'!$H:$H,'Prior Yr Expenses Entry'!$A:$A,$A21)</f>
        <v>0</v>
      </c>
      <c r="N21" s="25">
        <f>SUMIFS('Form 11''s Entry'!$I:$I,'Form 11''s Entry'!$A:$A,$A21)+SUMIFS('Prior Yr Expenses Entry'!$I:$I,'Prior Yr Expenses Entry'!$A:$A,$A21)</f>
        <v>0</v>
      </c>
      <c r="O21" s="18">
        <f>SUMIFS('Form 11''s Entry'!$J:$J,'Form 11''s Entry'!$A:$A,$A21)+SUMIFS('Prior Yr Expenses Entry'!$J:$J,'Prior Yr Expenses Entry'!$A:$A,$A21)</f>
        <v>175</v>
      </c>
      <c r="P21" s="9">
        <f>SUMIFS('Form 11''s Entry'!$K:$K,'Form 11''s Entry'!$A:$A,$A21)+SUMIFS('Prior Yr Expenses Entry'!$K:$K,'Prior Yr Expenses Entry'!$A:$A,$A21)</f>
        <v>0</v>
      </c>
      <c r="Q21" s="29">
        <f>SUMIFS('Form 11''s Entry'!$L:$L,'Form 11''s Entry'!$A:$A,$A21)+SUMIFS('Prior Yr Expenses Entry'!$L:$L,'Prior Yr Expenses Entry'!$A:$A,$A21)</f>
        <v>0</v>
      </c>
      <c r="R21" s="135">
        <f>SUMIFS('Form 11''s Entry'!$M:$M,'Form 11''s Entry'!$A:$A,$A21)+SUMIFS('Prior Yr Expenses Entry'!$M:$M,'Prior Yr Expenses Entry'!$A:$A,$A21)</f>
        <v>0</v>
      </c>
      <c r="S21" s="12">
        <f>SUMIFS('Form 11''s Entry'!$N:$N,'Form 11''s Entry'!$A:$A,$A21)+SUMIFS('Prior Yr Expenses Entry'!$N:$N,'Prior Yr Expenses Entry'!$A:$A,$A21)</f>
        <v>1728</v>
      </c>
      <c r="T21" s="147">
        <f>SUMIFS('Form 11''s Entry'!$O:$O,'Form 11''s Entry'!$A:$A,$A21)+SUMIFS('Prior Yr Expenses Entry'!$O:$O,'Prior Yr Expenses Entry'!$A:$A,$A21)</f>
        <v>0</v>
      </c>
      <c r="U21" s="147">
        <f>SUMIFS('Form 11''s Entry'!$P:$P,'Form 11''s Entry'!$A:$A,$A21)+SUMIFS('Prior Yr Expenses Entry'!$P:$P,'Prior Yr Expenses Entry'!$A:$A,$A21)</f>
        <v>0</v>
      </c>
      <c r="V21" s="147">
        <f>SUMIFS('Form 11''s Entry'!$Q:$Q,'Form 11''s Entry'!$A:$A,$A21)+SUMIFS('Prior Yr Expenses Entry'!$Q:$Q,'Prior Yr Expenses Entry'!$A:$A,$A21)</f>
        <v>0</v>
      </c>
      <c r="W21" s="29">
        <f>SUMIFS('Form 11''s Entry'!$R:$R,'Form 11''s Entry'!$A:$A,$A21)+SUMIFS('Prior Yr Expenses Entry'!$R:$R,'Prior Yr Expenses Entry'!$A:$A,$A21)</f>
        <v>0</v>
      </c>
      <c r="X21" s="9">
        <f>SUMIFS('Form 11''s Entry'!$S:$S,'Form 11''s Entry'!$A:$A,$A21)+SUMIFS('Prior Yr Expenses Entry'!$S:$S,'Prior Yr Expenses Entry'!$A:$A,$A21)</f>
        <v>0</v>
      </c>
      <c r="Y21" s="29">
        <f>SUMIFS('Form 11''s Entry'!$T:$T,'Form 11''s Entry'!$A:$A,$A21)+SUMIFS('Prior Yr Expenses Entry'!$T:$T,'Prior Yr Expenses Entry'!$A:$A,$A21)</f>
        <v>73.5</v>
      </c>
      <c r="Z21" s="9">
        <f>SUMIFS('Form 11''s Entry'!$U:$U,'Form 11''s Entry'!$A:$A,$A21)+SUMIFS('Prior Yr Expenses Entry'!$U:$U,'Prior Yr Expenses Entry'!$A:$A,$A21)</f>
        <v>0</v>
      </c>
      <c r="AA21" s="29">
        <f>SUMIFS('Form 11''s Entry'!$V:$V,'Form 11''s Entry'!$A:$A,$A21)+SUMIFS('Prior Yr Expenses Entry'!$V:$V,'Prior Yr Expenses Entry'!$A:$A,$A21)</f>
        <v>0</v>
      </c>
    </row>
    <row r="22" spans="1:30" s="1" customFormat="1" x14ac:dyDescent="0.25">
      <c r="A22" s="33">
        <v>39</v>
      </c>
      <c r="B22" s="90" t="s">
        <v>34</v>
      </c>
      <c r="C22" s="90"/>
      <c r="D22" s="32"/>
      <c r="E22" s="323"/>
      <c r="F22" s="90"/>
      <c r="G22" s="31"/>
      <c r="H22" s="18">
        <f>SUMIFS('Form 11''s Entry'!$C:$C,'Form 11''s Entry'!$A:$A,$A22)+SUMIFS('Prior Yr Expenses Entry'!$C:$C,'Form 11''s Entry'!$A:$A,$A22)</f>
        <v>340.5</v>
      </c>
      <c r="I22" s="135">
        <f>SUMIFS('Form 11''s Entry'!$D:$D,'Form 11''s Entry'!$A:$A,$A22)+SUMIFS('Prior Yr Expenses Entry'!$D:$D,'Prior Yr Expenses Entry'!$A:$A,$A22)</f>
        <v>0</v>
      </c>
      <c r="J22" s="202">
        <f>SUMIFS('Form 11''s Entry'!$E:$E,'Form 11''s Entry'!$A:$A,$A22)+SUMIFS('Prior Yr Expenses Entry'!$E:$E,'Prior Yr Expenses Entry'!$A:$A,$A22)</f>
        <v>0</v>
      </c>
      <c r="K22" s="9">
        <f>SUMIFS('Form 11''s Entry'!$F:$F,'Form 11''s Entry'!$A:$A,$A22)+SUMIFS('Prior Yr Expenses Entry'!$F:$F,'Prior Yr Expenses Entry'!$A:$A,$A22)</f>
        <v>0</v>
      </c>
      <c r="L22" s="24">
        <f>SUMIFS('Form 11''s Entry'!$G:$G,'Form 11''s Entry'!$A:$A,$A22)+SUMIFS('Form 11''s Entry'!$G:$G,'Form 11''s Entry'!$A:$A,$A22)</f>
        <v>0</v>
      </c>
      <c r="M22" s="12">
        <f>SUMIFS('Form 11''s Entry'!$H:$H,'Form 11''s Entry'!$A:$A,$A22)+SUMIFS('Prior Yr Expenses Entry'!$H:$H,'Prior Yr Expenses Entry'!$A:$A,$A22)</f>
        <v>116.29</v>
      </c>
      <c r="N22" s="25">
        <f>SUMIFS('Form 11''s Entry'!$I:$I,'Form 11''s Entry'!$A:$A,$A22)+SUMIFS('Prior Yr Expenses Entry'!$I:$I,'Prior Yr Expenses Entry'!$A:$A,$A22)</f>
        <v>0</v>
      </c>
      <c r="O22" s="18">
        <f>SUMIFS('Form 11''s Entry'!$J:$J,'Form 11''s Entry'!$A:$A,$A22)+SUMIFS('Prior Yr Expenses Entry'!$J:$J,'Prior Yr Expenses Entry'!$A:$A,$A22)</f>
        <v>1328.7</v>
      </c>
      <c r="P22" s="9">
        <f>SUMIFS('Form 11''s Entry'!$K:$K,'Form 11''s Entry'!$A:$A,$A22)+SUMIFS('Prior Yr Expenses Entry'!$K:$K,'Prior Yr Expenses Entry'!$A:$A,$A22)</f>
        <v>0</v>
      </c>
      <c r="Q22" s="29">
        <f>SUMIFS('Form 11''s Entry'!$L:$L,'Form 11''s Entry'!$A:$A,$A22)+SUMIFS('Prior Yr Expenses Entry'!$L:$L,'Prior Yr Expenses Entry'!$A:$A,$A22)</f>
        <v>0</v>
      </c>
      <c r="R22" s="135">
        <f>SUMIFS('Form 11''s Entry'!$M:$M,'Form 11''s Entry'!$A:$A,$A22)+SUMIFS('Prior Yr Expenses Entry'!$M:$M,'Prior Yr Expenses Entry'!$A:$A,$A22)</f>
        <v>0</v>
      </c>
      <c r="S22" s="12">
        <f>SUMIFS('Form 11''s Entry'!$N:$N,'Form 11''s Entry'!$A:$A,$A22)+SUMIFS('Prior Yr Expenses Entry'!$N:$N,'Prior Yr Expenses Entry'!$A:$A,$A22)</f>
        <v>9418.8599999999988</v>
      </c>
      <c r="T22" s="147">
        <f>SUMIFS('Form 11''s Entry'!$O:$O,'Form 11''s Entry'!$A:$A,$A22)+SUMIFS('Prior Yr Expenses Entry'!$O:$O,'Prior Yr Expenses Entry'!$A:$A,$A22)</f>
        <v>0</v>
      </c>
      <c r="U22" s="147">
        <f>SUMIFS('Form 11''s Entry'!$P:$P,'Form 11''s Entry'!$A:$A,$A22)+SUMIFS('Prior Yr Expenses Entry'!$P:$P,'Prior Yr Expenses Entry'!$A:$A,$A22)</f>
        <v>0</v>
      </c>
      <c r="V22" s="147">
        <f>SUMIFS('Form 11''s Entry'!$Q:$Q,'Form 11''s Entry'!$A:$A,$A22)+SUMIFS('Prior Yr Expenses Entry'!$Q:$Q,'Prior Yr Expenses Entry'!$A:$A,$A22)</f>
        <v>0</v>
      </c>
      <c r="W22" s="29">
        <f>SUMIFS('Form 11''s Entry'!$R:$R,'Form 11''s Entry'!$A:$A,$A22)+SUMIFS('Prior Yr Expenses Entry'!$R:$R,'Prior Yr Expenses Entry'!$A:$A,$A22)</f>
        <v>0</v>
      </c>
      <c r="X22" s="9">
        <f>SUMIFS('Form 11''s Entry'!$S:$S,'Form 11''s Entry'!$A:$A,$A22)+SUMIFS('Prior Yr Expenses Entry'!$S:$S,'Prior Yr Expenses Entry'!$A:$A,$A22)</f>
        <v>0</v>
      </c>
      <c r="Y22" s="29">
        <f>SUMIFS('Form 11''s Entry'!$T:$T,'Form 11''s Entry'!$A:$A,$A22)+SUMIFS('Prior Yr Expenses Entry'!$T:$T,'Prior Yr Expenses Entry'!$A:$A,$A22)</f>
        <v>0</v>
      </c>
      <c r="Z22" s="9">
        <f>SUMIFS('Form 11''s Entry'!$U:$U,'Form 11''s Entry'!$A:$A,$A22)+SUMIFS('Prior Yr Expenses Entry'!$U:$U,'Prior Yr Expenses Entry'!$A:$A,$A22)</f>
        <v>0</v>
      </c>
      <c r="AA22" s="29">
        <f>SUMIFS('Form 11''s Entry'!$V:$V,'Form 11''s Entry'!$A:$A,$A22)+SUMIFS('Prior Yr Expenses Entry'!$V:$V,'Prior Yr Expenses Entry'!$A:$A,$A22)</f>
        <v>0</v>
      </c>
    </row>
    <row r="23" spans="1:30" s="1" customFormat="1" x14ac:dyDescent="0.25">
      <c r="A23" s="33">
        <v>40</v>
      </c>
      <c r="B23" s="90" t="s">
        <v>22</v>
      </c>
      <c r="C23" s="90"/>
      <c r="D23" s="32"/>
      <c r="E23" s="323"/>
      <c r="F23" s="90"/>
      <c r="G23" s="117"/>
      <c r="H23" s="18">
        <f>SUMIFS('Form 11''s Entry'!$C:$C,'Form 11''s Entry'!$A:$A,$A23)+SUMIFS('Prior Yr Expenses Entry'!$C:$C,'Form 11''s Entry'!$A:$A,$A23)</f>
        <v>4202.7743774689998</v>
      </c>
      <c r="I23" s="135">
        <f>SUMIFS('Form 11''s Entry'!$D:$D,'Form 11''s Entry'!$A:$A,$A23)+SUMIFS('Prior Yr Expenses Entry'!$D:$D,'Prior Yr Expenses Entry'!$A:$A,$A23)</f>
        <v>0</v>
      </c>
      <c r="J23" s="202">
        <f>SUMIFS('Form 11''s Entry'!$E:$E,'Form 11''s Entry'!$A:$A,$A23)+SUMIFS('Prior Yr Expenses Entry'!$E:$E,'Prior Yr Expenses Entry'!$A:$A,$A23)</f>
        <v>4493.2217190250003</v>
      </c>
      <c r="K23" s="9">
        <f>SUMIFS('Form 11''s Entry'!$F:$F,'Form 11''s Entry'!$A:$A,$A23)+SUMIFS('Prior Yr Expenses Entry'!$F:$F,'Prior Yr Expenses Entry'!$A:$A,$A23)</f>
        <v>203.12</v>
      </c>
      <c r="L23" s="24">
        <f>SUMIFS('Form 11''s Entry'!$G:$G,'Form 11''s Entry'!$A:$A,$A23)+SUMIFS('Form 11''s Entry'!$G:$G,'Form 11''s Entry'!$A:$A,$A23)</f>
        <v>0</v>
      </c>
      <c r="M23" s="12">
        <f>SUMIFS('Form 11''s Entry'!$H:$H,'Form 11''s Entry'!$A:$A,$A23)+SUMIFS('Prior Yr Expenses Entry'!$H:$H,'Prior Yr Expenses Entry'!$A:$A,$A23)</f>
        <v>15918.584252539997</v>
      </c>
      <c r="N23" s="25">
        <f>SUMIFS('Form 11''s Entry'!$I:$I,'Form 11''s Entry'!$A:$A,$A23)+SUMIFS('Prior Yr Expenses Entry'!$I:$I,'Prior Yr Expenses Entry'!$A:$A,$A23)</f>
        <v>0</v>
      </c>
      <c r="O23" s="18">
        <f>SUMIFS('Form 11''s Entry'!$J:$J,'Form 11''s Entry'!$A:$A,$A23)+SUMIFS('Prior Yr Expenses Entry'!$J:$J,'Prior Yr Expenses Entry'!$A:$A,$A23)</f>
        <v>12061.04863225</v>
      </c>
      <c r="P23" s="9">
        <f>SUMIFS('Form 11''s Entry'!$K:$K,'Form 11''s Entry'!$A:$A,$A23)+SUMIFS('Prior Yr Expenses Entry'!$K:$K,'Prior Yr Expenses Entry'!$A:$A,$A23)</f>
        <v>0</v>
      </c>
      <c r="Q23" s="29">
        <f>SUMIFS('Form 11''s Entry'!$L:$L,'Form 11''s Entry'!$A:$A,$A23)+SUMIFS('Prior Yr Expenses Entry'!$L:$L,'Prior Yr Expenses Entry'!$A:$A,$A23)</f>
        <v>2925.2846098199998</v>
      </c>
      <c r="R23" s="135">
        <f>SUMIFS('Form 11''s Entry'!$M:$M,'Form 11''s Entry'!$A:$A,$A23)+SUMIFS('Prior Yr Expenses Entry'!$M:$M,'Prior Yr Expenses Entry'!$A:$A,$A23)</f>
        <v>0</v>
      </c>
      <c r="S23" s="12">
        <f>SUMIFS('Form 11''s Entry'!$N:$N,'Form 11''s Entry'!$A:$A,$A23)+SUMIFS('Prior Yr Expenses Entry'!$N:$N,'Prior Yr Expenses Entry'!$A:$A,$A23)</f>
        <v>55208.877837074993</v>
      </c>
      <c r="T23" s="147">
        <f>SUMIFS('Form 11''s Entry'!$O:$O,'Form 11''s Entry'!$A:$A,$A23)+SUMIFS('Prior Yr Expenses Entry'!$O:$O,'Prior Yr Expenses Entry'!$A:$A,$A23)</f>
        <v>0</v>
      </c>
      <c r="U23" s="147">
        <f>SUMIFS('Form 11''s Entry'!$P:$P,'Form 11''s Entry'!$A:$A,$A23)+SUMIFS('Prior Yr Expenses Entry'!$P:$P,'Prior Yr Expenses Entry'!$A:$A,$A23)</f>
        <v>0</v>
      </c>
      <c r="V23" s="147">
        <f>SUMIFS('Form 11''s Entry'!$Q:$Q,'Form 11''s Entry'!$A:$A,$A23)+SUMIFS('Prior Yr Expenses Entry'!$Q:$Q,'Prior Yr Expenses Entry'!$A:$A,$A23)</f>
        <v>0</v>
      </c>
      <c r="W23" s="29">
        <f>SUMIFS('Form 11''s Entry'!$R:$R,'Form 11''s Entry'!$A:$A,$A23)+SUMIFS('Prior Yr Expenses Entry'!$R:$R,'Prior Yr Expenses Entry'!$A:$A,$A23)</f>
        <v>0</v>
      </c>
      <c r="X23" s="9">
        <f>SUMIFS('Form 11''s Entry'!$S:$S,'Form 11''s Entry'!$A:$A,$A23)+SUMIFS('Prior Yr Expenses Entry'!$S:$S,'Prior Yr Expenses Entry'!$A:$A,$A23)</f>
        <v>0</v>
      </c>
      <c r="Y23" s="29">
        <f>SUMIFS('Form 11''s Entry'!$T:$T,'Form 11''s Entry'!$A:$A,$A23)+SUMIFS('Prior Yr Expenses Entry'!$T:$T,'Prior Yr Expenses Entry'!$A:$A,$A23)</f>
        <v>5535.5680265700003</v>
      </c>
      <c r="Z23" s="9">
        <f>SUMIFS('Form 11''s Entry'!$U:$U,'Form 11''s Entry'!$A:$A,$A23)+SUMIFS('Prior Yr Expenses Entry'!$U:$U,'Prior Yr Expenses Entry'!$A:$A,$A23)</f>
        <v>0</v>
      </c>
      <c r="AA23" s="29">
        <f>SUMIFS('Form 11''s Entry'!$V:$V,'Form 11''s Entry'!$A:$A,$A23)+SUMIFS('Prior Yr Expenses Entry'!$V:$V,'Prior Yr Expenses Entry'!$A:$A,$A23)</f>
        <v>4359.6727604000016</v>
      </c>
    </row>
    <row r="24" spans="1:30" s="1" customFormat="1" x14ac:dyDescent="0.25">
      <c r="A24" s="33">
        <v>41</v>
      </c>
      <c r="B24" s="90" t="s">
        <v>17</v>
      </c>
      <c r="C24" s="90"/>
      <c r="D24" s="32"/>
      <c r="E24" s="323"/>
      <c r="F24" s="90"/>
      <c r="G24" s="31"/>
      <c r="H24" s="18">
        <f>SUMIFS('Form 11''s Entry'!$C:$C,'Form 11''s Entry'!$A:$A,$A24)+SUMIFS('Prior Yr Expenses Entry'!$C:$C,'Form 11''s Entry'!$A:$A,$A24)</f>
        <v>8891.6350000000002</v>
      </c>
      <c r="I24" s="135">
        <f>SUMIFS('Form 11''s Entry'!$D:$D,'Form 11''s Entry'!$A:$A,$A24)+SUMIFS('Prior Yr Expenses Entry'!$D:$D,'Prior Yr Expenses Entry'!$A:$A,$A24)</f>
        <v>0</v>
      </c>
      <c r="J24" s="202">
        <f>SUMIFS('Form 11''s Entry'!$E:$E,'Form 11''s Entry'!$A:$A,$A24)+SUMIFS('Prior Yr Expenses Entry'!$E:$E,'Prior Yr Expenses Entry'!$A:$A,$A24)</f>
        <v>37641.372000000003</v>
      </c>
      <c r="K24" s="9">
        <f>SUMIFS('Form 11''s Entry'!$F:$F,'Form 11''s Entry'!$A:$A,$A24)+SUMIFS('Prior Yr Expenses Entry'!$F:$F,'Prior Yr Expenses Entry'!$A:$A,$A24)</f>
        <v>0</v>
      </c>
      <c r="L24" s="24">
        <f>SUMIFS('Form 11''s Entry'!$G:$G,'Form 11''s Entry'!$A:$A,$A24)+SUMIFS('Form 11''s Entry'!$G:$G,'Form 11''s Entry'!$A:$A,$A24)</f>
        <v>0</v>
      </c>
      <c r="M24" s="12">
        <f>SUMIFS('Form 11''s Entry'!$H:$H,'Form 11''s Entry'!$A:$A,$A24)+SUMIFS('Prior Yr Expenses Entry'!$H:$H,'Prior Yr Expenses Entry'!$A:$A,$A24)</f>
        <v>156065.807</v>
      </c>
      <c r="N24" s="25">
        <f>SUMIFS('Form 11''s Entry'!$I:$I,'Form 11''s Entry'!$A:$A,$A24)+SUMIFS('Prior Yr Expenses Entry'!$I:$I,'Prior Yr Expenses Entry'!$A:$A,$A24)</f>
        <v>0</v>
      </c>
      <c r="O24" s="18">
        <f>SUMIFS('Form 11''s Entry'!$J:$J,'Form 11''s Entry'!$A:$A,$A24)+SUMIFS('Prior Yr Expenses Entry'!$J:$J,'Prior Yr Expenses Entry'!$A:$A,$A24)</f>
        <v>3799.848</v>
      </c>
      <c r="P24" s="9">
        <f>SUMIFS('Form 11''s Entry'!$K:$K,'Form 11''s Entry'!$A:$A,$A24)+SUMIFS('Prior Yr Expenses Entry'!$K:$K,'Prior Yr Expenses Entry'!$A:$A,$A24)</f>
        <v>0</v>
      </c>
      <c r="Q24" s="29">
        <f>SUMIFS('Form 11''s Entry'!$L:$L,'Form 11''s Entry'!$A:$A,$A24)+SUMIFS('Prior Yr Expenses Entry'!$L:$L,'Prior Yr Expenses Entry'!$A:$A,$A24)</f>
        <v>7069.2089999999998</v>
      </c>
      <c r="R24" s="135">
        <f>SUMIFS('Form 11''s Entry'!$M:$M,'Form 11''s Entry'!$A:$A,$A24)+SUMIFS('Prior Yr Expenses Entry'!$M:$M,'Prior Yr Expenses Entry'!$A:$A,$A24)</f>
        <v>0</v>
      </c>
      <c r="S24" s="12">
        <f>SUMIFS('Form 11''s Entry'!$N:$N,'Form 11''s Entry'!$A:$A,$A24)+SUMIFS('Prior Yr Expenses Entry'!$N:$N,'Prior Yr Expenses Entry'!$A:$A,$A24)</f>
        <v>350561.15899999999</v>
      </c>
      <c r="T24" s="147">
        <f>SUMIFS('Form 11''s Entry'!$O:$O,'Form 11''s Entry'!$A:$A,$A24)+SUMIFS('Prior Yr Expenses Entry'!$O:$O,'Prior Yr Expenses Entry'!$A:$A,$A24)</f>
        <v>0</v>
      </c>
      <c r="U24" s="147">
        <f>SUMIFS('Form 11''s Entry'!$P:$P,'Form 11''s Entry'!$A:$A,$A24)+SUMIFS('Prior Yr Expenses Entry'!$P:$P,'Prior Yr Expenses Entry'!$A:$A,$A24)</f>
        <v>0</v>
      </c>
      <c r="V24" s="147">
        <f>SUMIFS('Form 11''s Entry'!$Q:$Q,'Form 11''s Entry'!$A:$A,$A24)+SUMIFS('Prior Yr Expenses Entry'!$Q:$Q,'Prior Yr Expenses Entry'!$A:$A,$A24)</f>
        <v>0</v>
      </c>
      <c r="W24" s="29">
        <f>SUMIFS('Form 11''s Entry'!$R:$R,'Form 11''s Entry'!$A:$A,$A24)+SUMIFS('Prior Yr Expenses Entry'!$R:$R,'Prior Yr Expenses Entry'!$A:$A,$A24)</f>
        <v>0</v>
      </c>
      <c r="X24" s="9">
        <f>SUMIFS('Form 11''s Entry'!$S:$S,'Form 11''s Entry'!$A:$A,$A24)+SUMIFS('Prior Yr Expenses Entry'!$S:$S,'Prior Yr Expenses Entry'!$A:$A,$A24)</f>
        <v>0</v>
      </c>
      <c r="Y24" s="29">
        <f>SUMIFS('Form 11''s Entry'!$T:$T,'Form 11''s Entry'!$A:$A,$A24)+SUMIFS('Prior Yr Expenses Entry'!$T:$T,'Prior Yr Expenses Entry'!$A:$A,$A24)</f>
        <v>2296.2370000000001</v>
      </c>
      <c r="Z24" s="9">
        <f>SUMIFS('Form 11''s Entry'!$U:$U,'Form 11''s Entry'!$A:$A,$A24)+SUMIFS('Prior Yr Expenses Entry'!$U:$U,'Prior Yr Expenses Entry'!$A:$A,$A24)</f>
        <v>0</v>
      </c>
      <c r="AA24" s="29">
        <f>SUMIFS('Form 11''s Entry'!$V:$V,'Form 11''s Entry'!$A:$A,$A24)+SUMIFS('Prior Yr Expenses Entry'!$V:$V,'Prior Yr Expenses Entry'!$A:$A,$A24)</f>
        <v>6698.6640000000007</v>
      </c>
    </row>
    <row r="25" spans="1:30" s="1" customFormat="1" x14ac:dyDescent="0.25">
      <c r="A25" s="33">
        <v>42</v>
      </c>
      <c r="B25" s="90" t="s">
        <v>23</v>
      </c>
      <c r="C25" s="90"/>
      <c r="D25" s="32"/>
      <c r="E25" s="323"/>
      <c r="F25" s="90"/>
      <c r="G25" s="31"/>
      <c r="H25" s="18">
        <f>SUMIFS('Form 11''s Entry'!$C:$C,'Form 11''s Entry'!$A:$A,$A25)+SUMIFS('Prior Yr Expenses Entry'!$C:$C,'Form 11''s Entry'!$A:$A,$A25)</f>
        <v>1263.3232499999999</v>
      </c>
      <c r="I25" s="135">
        <f>SUMIFS('Form 11''s Entry'!$D:$D,'Form 11''s Entry'!$A:$A,$A25)+SUMIFS('Prior Yr Expenses Entry'!$D:$D,'Prior Yr Expenses Entry'!$A:$A,$A25)</f>
        <v>0</v>
      </c>
      <c r="J25" s="202">
        <f>SUMIFS('Form 11''s Entry'!$E:$E,'Form 11''s Entry'!$A:$A,$A25)+SUMIFS('Prior Yr Expenses Entry'!$E:$E,'Prior Yr Expenses Entry'!$A:$A,$A25)</f>
        <v>1881.7553</v>
      </c>
      <c r="K25" s="9">
        <f>SUMIFS('Form 11''s Entry'!$F:$F,'Form 11''s Entry'!$A:$A,$A25)+SUMIFS('Prior Yr Expenses Entry'!$F:$F,'Prior Yr Expenses Entry'!$A:$A,$A25)</f>
        <v>0</v>
      </c>
      <c r="L25" s="24">
        <f>SUMIFS('Form 11''s Entry'!$G:$G,'Form 11''s Entry'!$A:$A,$A25)+SUMIFS('Form 11''s Entry'!$G:$G,'Form 11''s Entry'!$A:$A,$A25)</f>
        <v>0</v>
      </c>
      <c r="M25" s="12">
        <f>SUMIFS('Form 11''s Entry'!$H:$H,'Form 11''s Entry'!$A:$A,$A25)+SUMIFS('Prior Yr Expenses Entry'!$H:$H,'Prior Yr Expenses Entry'!$A:$A,$A25)</f>
        <v>9990.5301999999992</v>
      </c>
      <c r="N25" s="25">
        <f>SUMIFS('Form 11''s Entry'!$I:$I,'Form 11''s Entry'!$A:$A,$A25)+SUMIFS('Prior Yr Expenses Entry'!$I:$I,'Prior Yr Expenses Entry'!$A:$A,$A25)</f>
        <v>0</v>
      </c>
      <c r="O25" s="18">
        <f>SUMIFS('Form 11''s Entry'!$J:$J,'Form 11''s Entry'!$A:$A,$A25)+SUMIFS('Prior Yr Expenses Entry'!$J:$J,'Prior Yr Expenses Entry'!$A:$A,$A25)</f>
        <v>7055.6157999999996</v>
      </c>
      <c r="P25" s="9">
        <f>SUMIFS('Form 11''s Entry'!$K:$K,'Form 11''s Entry'!$A:$A,$A25)+SUMIFS('Prior Yr Expenses Entry'!$K:$K,'Prior Yr Expenses Entry'!$A:$A,$A25)</f>
        <v>0</v>
      </c>
      <c r="Q25" s="29">
        <f>SUMIFS('Form 11''s Entry'!$L:$L,'Form 11''s Entry'!$A:$A,$A25)+SUMIFS('Prior Yr Expenses Entry'!$L:$L,'Prior Yr Expenses Entry'!$A:$A,$A25)</f>
        <v>1749.3924</v>
      </c>
      <c r="R25" s="135">
        <f>SUMIFS('Form 11''s Entry'!$M:$M,'Form 11''s Entry'!$A:$A,$A25)+SUMIFS('Prior Yr Expenses Entry'!$M:$M,'Prior Yr Expenses Entry'!$A:$A,$A25)</f>
        <v>0</v>
      </c>
      <c r="S25" s="12">
        <f>SUMIFS('Form 11''s Entry'!$N:$N,'Form 11''s Entry'!$A:$A,$A25)+SUMIFS('Prior Yr Expenses Entry'!$N:$N,'Prior Yr Expenses Entry'!$A:$A,$A25)</f>
        <v>32416.349599999998</v>
      </c>
      <c r="T25" s="147">
        <f>SUMIFS('Form 11''s Entry'!$O:$O,'Form 11''s Entry'!$A:$A,$A25)+SUMIFS('Prior Yr Expenses Entry'!$O:$O,'Prior Yr Expenses Entry'!$A:$A,$A25)</f>
        <v>0</v>
      </c>
      <c r="U25" s="147">
        <f>SUMIFS('Form 11''s Entry'!$P:$P,'Form 11''s Entry'!$A:$A,$A25)+SUMIFS('Prior Yr Expenses Entry'!$P:$P,'Prior Yr Expenses Entry'!$A:$A,$A25)</f>
        <v>0</v>
      </c>
      <c r="V25" s="147">
        <f>SUMIFS('Form 11''s Entry'!$Q:$Q,'Form 11''s Entry'!$A:$A,$A25)+SUMIFS('Prior Yr Expenses Entry'!$Q:$Q,'Prior Yr Expenses Entry'!$A:$A,$A25)</f>
        <v>0</v>
      </c>
      <c r="W25" s="29">
        <f>SUMIFS('Form 11''s Entry'!$R:$R,'Form 11''s Entry'!$A:$A,$A25)+SUMIFS('Prior Yr Expenses Entry'!$R:$R,'Prior Yr Expenses Entry'!$A:$A,$A25)</f>
        <v>0</v>
      </c>
      <c r="X25" s="9">
        <f>SUMIFS('Form 11''s Entry'!$S:$S,'Form 11''s Entry'!$A:$A,$A25)+SUMIFS('Prior Yr Expenses Entry'!$S:$S,'Prior Yr Expenses Entry'!$A:$A,$A25)</f>
        <v>0</v>
      </c>
      <c r="Y25" s="29">
        <f>SUMIFS('Form 11''s Entry'!$T:$T,'Form 11''s Entry'!$A:$A,$A25)+SUMIFS('Prior Yr Expenses Entry'!$T:$T,'Prior Yr Expenses Entry'!$A:$A,$A25)</f>
        <v>2530.42</v>
      </c>
      <c r="Z25" s="9">
        <f>SUMIFS('Form 11''s Entry'!$U:$U,'Form 11''s Entry'!$A:$A,$A25)+SUMIFS('Prior Yr Expenses Entry'!$U:$U,'Prior Yr Expenses Entry'!$A:$A,$A25)</f>
        <v>0</v>
      </c>
      <c r="AA25" s="29">
        <f>SUMIFS('Form 11''s Entry'!$V:$V,'Form 11''s Entry'!$A:$A,$A25)+SUMIFS('Prior Yr Expenses Entry'!$V:$V,'Prior Yr Expenses Entry'!$A:$A,$A25)</f>
        <v>2845.9372000000003</v>
      </c>
    </row>
    <row r="26" spans="1:30" s="1" customFormat="1" x14ac:dyDescent="0.25">
      <c r="A26" s="33">
        <v>50</v>
      </c>
      <c r="B26" s="90" t="s">
        <v>36</v>
      </c>
      <c r="C26" s="90"/>
      <c r="D26" s="32"/>
      <c r="E26" s="323"/>
      <c r="F26" s="90"/>
      <c r="G26" s="31"/>
      <c r="H26" s="18">
        <f>SUMIFS('Form 11''s Entry'!$C:$C,'Form 11''s Entry'!$A:$A,$A26)+SUMIFS('Prior Yr Expenses Entry'!$C:$C,'Form 11''s Entry'!$A:$A,$A26)</f>
        <v>18974.014999999999</v>
      </c>
      <c r="I26" s="135">
        <f>SUMIFS('Form 11''s Entry'!$D:$D,'Form 11''s Entry'!$A:$A,$A26)+SUMIFS('Prior Yr Expenses Entry'!$D:$D,'Prior Yr Expenses Entry'!$A:$A,$A26)</f>
        <v>0</v>
      </c>
      <c r="J26" s="202">
        <f>SUMIFS('Form 11''s Entry'!$E:$E,'Form 11''s Entry'!$A:$A,$A26)+SUMIFS('Prior Yr Expenses Entry'!$E:$E,'Prior Yr Expenses Entry'!$A:$A,$A26)</f>
        <v>46653.264999999992</v>
      </c>
      <c r="K26" s="9">
        <f>SUMIFS('Form 11''s Entry'!$F:$F,'Form 11''s Entry'!$A:$A,$A26)+SUMIFS('Prior Yr Expenses Entry'!$F:$F,'Prior Yr Expenses Entry'!$A:$A,$A26)</f>
        <v>0</v>
      </c>
      <c r="L26" s="24">
        <f>SUMIFS('Form 11''s Entry'!$G:$G,'Form 11''s Entry'!$A:$A,$A26)+SUMIFS('Form 11''s Entry'!$G:$G,'Form 11''s Entry'!$A:$A,$A26)</f>
        <v>0</v>
      </c>
      <c r="M26" s="12">
        <f>SUMIFS('Form 11''s Entry'!$H:$H,'Form 11''s Entry'!$A:$A,$A26)+SUMIFS('Prior Yr Expenses Entry'!$H:$H,'Prior Yr Expenses Entry'!$A:$A,$A26)</f>
        <v>107031.61</v>
      </c>
      <c r="N26" s="25">
        <f>SUMIFS('Form 11''s Entry'!$I:$I,'Form 11''s Entry'!$A:$A,$A26)+SUMIFS('Prior Yr Expenses Entry'!$I:$I,'Prior Yr Expenses Entry'!$A:$A,$A26)</f>
        <v>0</v>
      </c>
      <c r="O26" s="18">
        <f>SUMIFS('Form 11''s Entry'!$J:$J,'Form 11''s Entry'!$A:$A,$A26)+SUMIFS('Prior Yr Expenses Entry'!$J:$J,'Prior Yr Expenses Entry'!$A:$A,$A26)</f>
        <v>53824.37000000001</v>
      </c>
      <c r="P26" s="9">
        <f>SUMIFS('Form 11''s Entry'!$K:$K,'Form 11''s Entry'!$A:$A,$A26)+SUMIFS('Prior Yr Expenses Entry'!$K:$K,'Prior Yr Expenses Entry'!$A:$A,$A26)</f>
        <v>0</v>
      </c>
      <c r="Q26" s="29">
        <f>SUMIFS('Form 11''s Entry'!$L:$L,'Form 11''s Entry'!$A:$A,$A26)+SUMIFS('Prior Yr Expenses Entry'!$L:$L,'Prior Yr Expenses Entry'!$A:$A,$A26)</f>
        <v>33281.760000000002</v>
      </c>
      <c r="R26" s="135">
        <f>SUMIFS('Form 11''s Entry'!$M:$M,'Form 11''s Entry'!$A:$A,$A26)+SUMIFS('Prior Yr Expenses Entry'!$M:$M,'Prior Yr Expenses Entry'!$A:$A,$A26)</f>
        <v>0</v>
      </c>
      <c r="S26" s="12">
        <f>SUMIFS('Form 11''s Entry'!$N:$N,'Form 11''s Entry'!$A:$A,$A26)+SUMIFS('Prior Yr Expenses Entry'!$N:$N,'Prior Yr Expenses Entry'!$A:$A,$A26)</f>
        <v>203417.11000000002</v>
      </c>
      <c r="T26" s="147">
        <f>SUMIFS('Form 11''s Entry'!$O:$O,'Form 11''s Entry'!$A:$A,$A26)+SUMIFS('Prior Yr Expenses Entry'!$O:$O,'Prior Yr Expenses Entry'!$A:$A,$A26)</f>
        <v>0</v>
      </c>
      <c r="U26" s="147">
        <f>SUMIFS('Form 11''s Entry'!$P:$P,'Form 11''s Entry'!$A:$A,$A26)+SUMIFS('Prior Yr Expenses Entry'!$P:$P,'Prior Yr Expenses Entry'!$A:$A,$A26)</f>
        <v>0</v>
      </c>
      <c r="V26" s="147">
        <f>SUMIFS('Form 11''s Entry'!$Q:$Q,'Form 11''s Entry'!$A:$A,$A26)+SUMIFS('Prior Yr Expenses Entry'!$Q:$Q,'Prior Yr Expenses Entry'!$A:$A,$A26)</f>
        <v>0</v>
      </c>
      <c r="W26" s="29">
        <f>SUMIFS('Form 11''s Entry'!$R:$R,'Form 11''s Entry'!$A:$A,$A26)+SUMIFS('Prior Yr Expenses Entry'!$R:$R,'Prior Yr Expenses Entry'!$A:$A,$A26)</f>
        <v>0</v>
      </c>
      <c r="X26" s="9">
        <f>SUMIFS('Form 11''s Entry'!$S:$S,'Form 11''s Entry'!$A:$A,$A26)+SUMIFS('Prior Yr Expenses Entry'!$S:$S,'Prior Yr Expenses Entry'!$A:$A,$A26)</f>
        <v>0</v>
      </c>
      <c r="Y26" s="29">
        <f>SUMIFS('Form 11''s Entry'!$T:$T,'Form 11''s Entry'!$A:$A,$A26)+SUMIFS('Prior Yr Expenses Entry'!$T:$T,'Prior Yr Expenses Entry'!$A:$A,$A26)</f>
        <v>47517.45</v>
      </c>
      <c r="Z26" s="9">
        <f>SUMIFS('Form 11''s Entry'!$U:$U,'Form 11''s Entry'!$A:$A,$A26)+SUMIFS('Prior Yr Expenses Entry'!$U:$U,'Prior Yr Expenses Entry'!$A:$A,$A26)</f>
        <v>0</v>
      </c>
      <c r="AA26" s="29">
        <f>SUMIFS('Form 11''s Entry'!$V:$V,'Form 11''s Entry'!$A:$A,$A26)+SUMIFS('Prior Yr Expenses Entry'!$V:$V,'Prior Yr Expenses Entry'!$A:$A,$A26)</f>
        <v>48573.530000000013</v>
      </c>
    </row>
    <row r="27" spans="1:30" s="1" customFormat="1" x14ac:dyDescent="0.25">
      <c r="A27" s="33">
        <v>59</v>
      </c>
      <c r="B27" s="90" t="s">
        <v>67</v>
      </c>
      <c r="C27" s="90"/>
      <c r="D27" s="32"/>
      <c r="E27" s="323"/>
      <c r="F27" s="90"/>
      <c r="G27" s="31"/>
      <c r="H27" s="18">
        <f>SUMIFS('Form 11''s Entry'!$C:$C,'Form 11''s Entry'!$A:$A,$A27)+SUMIFS('Prior Yr Expenses Entry'!$C:$C,'Form 11''s Entry'!$A:$A,$A27)</f>
        <v>26250.73</v>
      </c>
      <c r="I27" s="135">
        <f>SUMIFS('Form 11''s Entry'!$D:$D,'Form 11''s Entry'!$A:$A,$A27)+SUMIFS('Prior Yr Expenses Entry'!$D:$D,'Prior Yr Expenses Entry'!$A:$A,$A27)</f>
        <v>0</v>
      </c>
      <c r="J27" s="202">
        <f>SUMIFS('Form 11''s Entry'!$E:$E,'Form 11''s Entry'!$A:$A,$A27)+SUMIFS('Prior Yr Expenses Entry'!$E:$E,'Prior Yr Expenses Entry'!$A:$A,$A27)</f>
        <v>5234.22</v>
      </c>
      <c r="K27" s="9">
        <f>SUMIFS('Form 11''s Entry'!$F:$F,'Form 11''s Entry'!$A:$A,$A27)+SUMIFS('Prior Yr Expenses Entry'!$F:$F,'Prior Yr Expenses Entry'!$A:$A,$A27)</f>
        <v>0</v>
      </c>
      <c r="L27" s="24">
        <f>SUMIFS('Form 11''s Entry'!$G:$G,'Form 11''s Entry'!$A:$A,$A27)+SUMIFS('Form 11''s Entry'!$G:$G,'Form 11''s Entry'!$A:$A,$A27)</f>
        <v>0</v>
      </c>
      <c r="M27" s="12">
        <f>SUMIFS('Form 11''s Entry'!$H:$H,'Form 11''s Entry'!$A:$A,$A27)+SUMIFS('Prior Yr Expenses Entry'!$H:$H,'Prior Yr Expenses Entry'!$A:$A,$A27)</f>
        <v>98826.66</v>
      </c>
      <c r="N27" s="25">
        <f>SUMIFS('Form 11''s Entry'!$I:$I,'Form 11''s Entry'!$A:$A,$A27)+SUMIFS('Prior Yr Expenses Entry'!$I:$I,'Prior Yr Expenses Entry'!$A:$A,$A27)</f>
        <v>0</v>
      </c>
      <c r="O27" s="18">
        <f>SUMIFS('Form 11''s Entry'!$J:$J,'Form 11''s Entry'!$A:$A,$A27)+SUMIFS('Prior Yr Expenses Entry'!$J:$J,'Prior Yr Expenses Entry'!$A:$A,$A27)</f>
        <v>69003.45</v>
      </c>
      <c r="P27" s="9">
        <f>SUMIFS('Form 11''s Entry'!$K:$K,'Form 11''s Entry'!$A:$A,$A27)+SUMIFS('Prior Yr Expenses Entry'!$K:$K,'Prior Yr Expenses Entry'!$A:$A,$A27)</f>
        <v>0</v>
      </c>
      <c r="Q27" s="29">
        <f>SUMIFS('Form 11''s Entry'!$L:$L,'Form 11''s Entry'!$A:$A,$A27)+SUMIFS('Prior Yr Expenses Entry'!$L:$L,'Prior Yr Expenses Entry'!$A:$A,$A27)</f>
        <v>1681.07</v>
      </c>
      <c r="R27" s="135">
        <f>SUMIFS('Form 11''s Entry'!$M:$M,'Form 11''s Entry'!$A:$A,$A27)+SUMIFS('Prior Yr Expenses Entry'!$M:$M,'Prior Yr Expenses Entry'!$A:$A,$A27)</f>
        <v>0</v>
      </c>
      <c r="S27" s="12">
        <f>SUMIFS('Form 11''s Entry'!$N:$N,'Form 11''s Entry'!$A:$A,$A27)+SUMIFS('Prior Yr Expenses Entry'!$N:$N,'Prior Yr Expenses Entry'!$A:$A,$A27)</f>
        <v>372718.91</v>
      </c>
      <c r="T27" s="147">
        <f>SUMIFS('Form 11''s Entry'!$O:$O,'Form 11''s Entry'!$A:$A,$A27)+SUMIFS('Prior Yr Expenses Entry'!$O:$O,'Prior Yr Expenses Entry'!$A:$A,$A27)</f>
        <v>0</v>
      </c>
      <c r="U27" s="147">
        <f>SUMIFS('Form 11''s Entry'!$P:$P,'Form 11''s Entry'!$A:$A,$A27)+SUMIFS('Prior Yr Expenses Entry'!$P:$P,'Prior Yr Expenses Entry'!$A:$A,$A27)</f>
        <v>0</v>
      </c>
      <c r="V27" s="147">
        <f>SUMIFS('Form 11''s Entry'!$Q:$Q,'Form 11''s Entry'!$A:$A,$A27)+SUMIFS('Prior Yr Expenses Entry'!$Q:$Q,'Prior Yr Expenses Entry'!$A:$A,$A27)</f>
        <v>0</v>
      </c>
      <c r="W27" s="29">
        <f>SUMIFS('Form 11''s Entry'!$R:$R,'Form 11''s Entry'!$A:$A,$A27)+SUMIFS('Prior Yr Expenses Entry'!$R:$R,'Prior Yr Expenses Entry'!$A:$A,$A27)</f>
        <v>0</v>
      </c>
      <c r="X27" s="9">
        <f>SUMIFS('Form 11''s Entry'!$S:$S,'Form 11''s Entry'!$A:$A,$A27)+SUMIFS('Prior Yr Expenses Entry'!$S:$S,'Prior Yr Expenses Entry'!$A:$A,$A27)</f>
        <v>0</v>
      </c>
      <c r="Y27" s="29">
        <f>SUMIFS('Form 11''s Entry'!$T:$T,'Form 11''s Entry'!$A:$A,$A27)+SUMIFS('Prior Yr Expenses Entry'!$T:$T,'Prior Yr Expenses Entry'!$A:$A,$A27)</f>
        <v>0</v>
      </c>
      <c r="Z27" s="9">
        <f>SUMIFS('Form 11''s Entry'!$U:$U,'Form 11''s Entry'!$A:$A,$A27)+SUMIFS('Prior Yr Expenses Entry'!$U:$U,'Prior Yr Expenses Entry'!$A:$A,$A27)</f>
        <v>0</v>
      </c>
      <c r="AA27" s="29">
        <f>SUMIFS('Form 11''s Entry'!$V:$V,'Form 11''s Entry'!$A:$A,$A27)+SUMIFS('Prior Yr Expenses Entry'!$V:$V,'Prior Yr Expenses Entry'!$A:$A,$A27)</f>
        <v>0</v>
      </c>
    </row>
    <row r="28" spans="1:30" s="1" customFormat="1" x14ac:dyDescent="0.25">
      <c r="A28" s="33">
        <v>60</v>
      </c>
      <c r="B28" s="90" t="s">
        <v>18</v>
      </c>
      <c r="C28" s="90"/>
      <c r="D28" s="32"/>
      <c r="E28" s="323"/>
      <c r="F28" s="90"/>
      <c r="G28" s="31"/>
      <c r="H28" s="18">
        <f>SUMIFS('Form 11''s Entry'!$C:$C,'Form 11''s Entry'!$A:$A,$A28)+SUMIFS('Prior Yr Expenses Entry'!$C:$C,'Form 11''s Entry'!$A:$A,$A28)</f>
        <v>17360.766313</v>
      </c>
      <c r="I28" s="135">
        <f>SUMIFS('Form 11''s Entry'!$D:$D,'Form 11''s Entry'!$A:$A,$A28)+SUMIFS('Prior Yr Expenses Entry'!$D:$D,'Prior Yr Expenses Entry'!$A:$A,$A28)</f>
        <v>0</v>
      </c>
      <c r="J28" s="202">
        <f>SUMIFS('Form 11''s Entry'!$E:$E,'Form 11''s Entry'!$A:$A,$A28)+SUMIFS('Prior Yr Expenses Entry'!$E:$E,'Prior Yr Expenses Entry'!$A:$A,$A28)</f>
        <v>22936.575875000002</v>
      </c>
      <c r="K28" s="9">
        <f>SUMIFS('Form 11''s Entry'!$F:$F,'Form 11''s Entry'!$A:$A,$A28)+SUMIFS('Prior Yr Expenses Entry'!$F:$F,'Prior Yr Expenses Entry'!$A:$A,$A28)</f>
        <v>0</v>
      </c>
      <c r="L28" s="24">
        <f>SUMIFS('Form 11''s Entry'!$G:$G,'Form 11''s Entry'!$A:$A,$A28)+SUMIFS('Form 11''s Entry'!$G:$G,'Form 11''s Entry'!$A:$A,$A28)</f>
        <v>0</v>
      </c>
      <c r="M28" s="12">
        <f>SUMIFS('Form 11''s Entry'!$H:$H,'Form 11''s Entry'!$A:$A,$A28)+SUMIFS('Prior Yr Expenses Entry'!$H:$H,'Prior Yr Expenses Entry'!$A:$A,$A28)</f>
        <v>71453.252379999991</v>
      </c>
      <c r="N28" s="25">
        <f>SUMIFS('Form 11''s Entry'!$I:$I,'Form 11''s Entry'!$A:$A,$A28)+SUMIFS('Prior Yr Expenses Entry'!$I:$I,'Prior Yr Expenses Entry'!$A:$A,$A28)</f>
        <v>0</v>
      </c>
      <c r="O28" s="18">
        <f>SUMIFS('Form 11''s Entry'!$J:$J,'Form 11''s Entry'!$A:$A,$A28)+SUMIFS('Prior Yr Expenses Entry'!$J:$J,'Prior Yr Expenses Entry'!$A:$A,$A28)</f>
        <v>57244.739949999996</v>
      </c>
      <c r="P28" s="9">
        <f>SUMIFS('Form 11''s Entry'!$K:$K,'Form 11''s Entry'!$A:$A,$A28)+SUMIFS('Prior Yr Expenses Entry'!$K:$K,'Prior Yr Expenses Entry'!$A:$A,$A28)</f>
        <v>0</v>
      </c>
      <c r="Q28" s="29">
        <f>SUMIFS('Form 11''s Entry'!$L:$L,'Form 11''s Entry'!$A:$A,$A28)+SUMIFS('Prior Yr Expenses Entry'!$L:$L,'Prior Yr Expenses Entry'!$A:$A,$A28)</f>
        <v>15822.334739999997</v>
      </c>
      <c r="R28" s="135">
        <f>SUMIFS('Form 11''s Entry'!$M:$M,'Form 11''s Entry'!$A:$A,$A28)+SUMIFS('Prior Yr Expenses Entry'!$M:$M,'Prior Yr Expenses Entry'!$A:$A,$A28)</f>
        <v>0</v>
      </c>
      <c r="S28" s="12">
        <f>SUMIFS('Form 11''s Entry'!$N:$N,'Form 11''s Entry'!$A:$A,$A28)+SUMIFS('Prior Yr Expenses Entry'!$N:$N,'Prior Yr Expenses Entry'!$A:$A,$A28)</f>
        <v>197798.586625</v>
      </c>
      <c r="T28" s="147">
        <f>SUMIFS('Form 11''s Entry'!$O:$O,'Form 11''s Entry'!$A:$A,$A28)+SUMIFS('Prior Yr Expenses Entry'!$O:$O,'Prior Yr Expenses Entry'!$A:$A,$A28)</f>
        <v>0</v>
      </c>
      <c r="U28" s="147">
        <f>SUMIFS('Form 11''s Entry'!$P:$P,'Form 11''s Entry'!$A:$A,$A28)+SUMIFS('Prior Yr Expenses Entry'!$P:$P,'Prior Yr Expenses Entry'!$A:$A,$A28)</f>
        <v>0</v>
      </c>
      <c r="V28" s="147">
        <f>SUMIFS('Form 11''s Entry'!$Q:$Q,'Form 11''s Entry'!$A:$A,$A28)+SUMIFS('Prior Yr Expenses Entry'!$Q:$Q,'Prior Yr Expenses Entry'!$A:$A,$A28)</f>
        <v>0</v>
      </c>
      <c r="W28" s="29">
        <f>SUMIFS('Form 11''s Entry'!$R:$R,'Form 11''s Entry'!$A:$A,$A28)+SUMIFS('Prior Yr Expenses Entry'!$R:$R,'Prior Yr Expenses Entry'!$A:$A,$A28)</f>
        <v>0</v>
      </c>
      <c r="X28" s="9">
        <f>SUMIFS('Form 11''s Entry'!$S:$S,'Form 11''s Entry'!$A:$A,$A28)+SUMIFS('Prior Yr Expenses Entry'!$S:$S,'Prior Yr Expenses Entry'!$A:$A,$A28)</f>
        <v>0</v>
      </c>
      <c r="Y28" s="29">
        <f>SUMIFS('Form 11''s Entry'!$T:$T,'Form 11''s Entry'!$A:$A,$A28)+SUMIFS('Prior Yr Expenses Entry'!$T:$T,'Prior Yr Expenses Entry'!$A:$A,$A28)</f>
        <v>29806.694390000004</v>
      </c>
      <c r="Z28" s="9">
        <f>SUMIFS('Form 11''s Entry'!$U:$U,'Form 11''s Entry'!$A:$A,$A28)+SUMIFS('Prior Yr Expenses Entry'!$U:$U,'Prior Yr Expenses Entry'!$A:$A,$A28)</f>
        <v>0</v>
      </c>
      <c r="AA28" s="29">
        <f>SUMIFS('Form 11''s Entry'!$V:$V,'Form 11''s Entry'!$A:$A,$A28)+SUMIFS('Prior Yr Expenses Entry'!$V:$V,'Prior Yr Expenses Entry'!$A:$A,$A28)</f>
        <v>18529.953600000004</v>
      </c>
    </row>
    <row r="29" spans="1:30" s="1" customFormat="1" x14ac:dyDescent="0.25">
      <c r="A29" s="33">
        <v>66</v>
      </c>
      <c r="B29" s="90" t="s">
        <v>153</v>
      </c>
      <c r="C29" s="90"/>
      <c r="D29" s="32"/>
      <c r="E29" s="323"/>
      <c r="F29" s="90"/>
      <c r="G29" s="31"/>
      <c r="H29" s="18">
        <f>SUMIFS('Form 11''s Entry'!$C:$C,'Form 11''s Entry'!$A:$A,$A29)+SUMIFS('Prior Yr Expenses Entry'!$C:$C,'Form 11''s Entry'!$A:$A,$A29)</f>
        <v>0</v>
      </c>
      <c r="I29" s="135">
        <f>SUMIFS('Form 11''s Entry'!$D:$D,'Form 11''s Entry'!$A:$A,$A29)+SUMIFS('Prior Yr Expenses Entry'!$D:$D,'Prior Yr Expenses Entry'!$A:$A,$A29)</f>
        <v>0</v>
      </c>
      <c r="J29" s="202">
        <f>SUMIFS('Form 11''s Entry'!$E:$E,'Form 11''s Entry'!$A:$A,$A29)+SUMIFS('Prior Yr Expenses Entry'!$E:$E,'Prior Yr Expenses Entry'!$A:$A,$A29)</f>
        <v>0</v>
      </c>
      <c r="K29" s="9">
        <f>SUMIFS('Form 11''s Entry'!$F:$F,'Form 11''s Entry'!$A:$A,$A29)+SUMIFS('Prior Yr Expenses Entry'!$F:$F,'Prior Yr Expenses Entry'!$A:$A,$A29)</f>
        <v>0</v>
      </c>
      <c r="L29" s="24">
        <f>SUMIFS('Form 11''s Entry'!$G:$G,'Form 11''s Entry'!$A:$A,$A29)+SUMIFS('Form 11''s Entry'!$G:$G,'Form 11''s Entry'!$A:$A,$A29)</f>
        <v>0</v>
      </c>
      <c r="M29" s="12">
        <f>SUMIFS('Form 11''s Entry'!$H:$H,'Form 11''s Entry'!$A:$A,$A29)+SUMIFS('Prior Yr Expenses Entry'!$H:$H,'Prior Yr Expenses Entry'!$A:$A,$A29)</f>
        <v>0</v>
      </c>
      <c r="N29" s="25">
        <f>SUMIFS('Form 11''s Entry'!$I:$I,'Form 11''s Entry'!$A:$A,$A29)+SUMIFS('Prior Yr Expenses Entry'!$I:$I,'Prior Yr Expenses Entry'!$A:$A,$A29)</f>
        <v>0</v>
      </c>
      <c r="O29" s="18">
        <f>SUMIFS('Form 11''s Entry'!$J:$J,'Form 11''s Entry'!$A:$A,$A29)+SUMIFS('Prior Yr Expenses Entry'!$J:$J,'Prior Yr Expenses Entry'!$A:$A,$A29)</f>
        <v>0</v>
      </c>
      <c r="P29" s="9">
        <f>SUMIFS('Form 11''s Entry'!$K:$K,'Form 11''s Entry'!$A:$A,$A29)+SUMIFS('Prior Yr Expenses Entry'!$K:$K,'Prior Yr Expenses Entry'!$A:$A,$A29)</f>
        <v>0</v>
      </c>
      <c r="Q29" s="29">
        <f>SUMIFS('Form 11''s Entry'!$L:$L,'Form 11''s Entry'!$A:$A,$A29)+SUMIFS('Prior Yr Expenses Entry'!$L:$L,'Prior Yr Expenses Entry'!$A:$A,$A29)</f>
        <v>0</v>
      </c>
      <c r="R29" s="135">
        <f>SUMIFS('Form 11''s Entry'!$M:$M,'Form 11''s Entry'!$A:$A,$A29)+SUMIFS('Prior Yr Expenses Entry'!$M:$M,'Prior Yr Expenses Entry'!$A:$A,$A29)</f>
        <v>0</v>
      </c>
      <c r="S29" s="12">
        <f>SUMIFS('Form 11''s Entry'!$N:$N,'Form 11''s Entry'!$A:$A,$A29)+SUMIFS('Prior Yr Expenses Entry'!$N:$N,'Prior Yr Expenses Entry'!$A:$A,$A29)</f>
        <v>100</v>
      </c>
      <c r="T29" s="147">
        <f>SUMIFS('Form 11''s Entry'!$O:$O,'Form 11''s Entry'!$A:$A,$A29)+SUMIFS('Prior Yr Expenses Entry'!$O:$O,'Prior Yr Expenses Entry'!$A:$A,$A29)</f>
        <v>0</v>
      </c>
      <c r="U29" s="147">
        <f>SUMIFS('Form 11''s Entry'!$P:$P,'Form 11''s Entry'!$A:$A,$A29)+SUMIFS('Prior Yr Expenses Entry'!$P:$P,'Prior Yr Expenses Entry'!$A:$A,$A29)</f>
        <v>0</v>
      </c>
      <c r="V29" s="147">
        <f>SUMIFS('Form 11''s Entry'!$Q:$Q,'Form 11''s Entry'!$A:$A,$A29)+SUMIFS('Prior Yr Expenses Entry'!$Q:$Q,'Prior Yr Expenses Entry'!$A:$A,$A29)</f>
        <v>0</v>
      </c>
      <c r="W29" s="29">
        <f>SUMIFS('Form 11''s Entry'!$R:$R,'Form 11''s Entry'!$A:$A,$A29)+SUMIFS('Prior Yr Expenses Entry'!$R:$R,'Prior Yr Expenses Entry'!$A:$A,$A29)</f>
        <v>0</v>
      </c>
      <c r="X29" s="9">
        <f>SUMIFS('Form 11''s Entry'!$S:$S,'Form 11''s Entry'!$A:$A,$A29)+SUMIFS('Prior Yr Expenses Entry'!$S:$S,'Prior Yr Expenses Entry'!$A:$A,$A29)</f>
        <v>0</v>
      </c>
      <c r="Y29" s="29">
        <f>SUMIFS('Form 11''s Entry'!$T:$T,'Form 11''s Entry'!$A:$A,$A29)+SUMIFS('Prior Yr Expenses Entry'!$T:$T,'Prior Yr Expenses Entry'!$A:$A,$A29)</f>
        <v>0</v>
      </c>
      <c r="Z29" s="9">
        <f>SUMIFS('Form 11''s Entry'!$U:$U,'Form 11''s Entry'!$A:$A,$A29)+SUMIFS('Prior Yr Expenses Entry'!$U:$U,'Prior Yr Expenses Entry'!$A:$A,$A29)</f>
        <v>0</v>
      </c>
      <c r="AA29" s="29">
        <f>SUMIFS('Form 11''s Entry'!$V:$V,'Form 11''s Entry'!$A:$A,$A29)+SUMIFS('Prior Yr Expenses Entry'!$V:$V,'Prior Yr Expenses Entry'!$A:$A,$A29)</f>
        <v>0</v>
      </c>
    </row>
    <row r="30" spans="1:30" s="1" customFormat="1" x14ac:dyDescent="0.25">
      <c r="A30" s="33">
        <v>67</v>
      </c>
      <c r="B30" s="90" t="s">
        <v>253</v>
      </c>
      <c r="C30" s="90"/>
      <c r="D30" s="32"/>
      <c r="E30" s="323"/>
      <c r="F30" s="90"/>
      <c r="G30" s="31"/>
      <c r="H30" s="18">
        <f>SUMIFS('Form 11''s Entry'!$C:$C,'Form 11''s Entry'!$A:$A,$A30)+SUMIFS('Prior Yr Expenses Entry'!$C:$C,'Form 11''s Entry'!$A:$A,$A30)</f>
        <v>0</v>
      </c>
      <c r="I30" s="135">
        <f>SUMIFS('Form 11''s Entry'!$D:$D,'Form 11''s Entry'!$A:$A,$A30)+SUMIFS('Prior Yr Expenses Entry'!$D:$D,'Prior Yr Expenses Entry'!$A:$A,$A30)</f>
        <v>0</v>
      </c>
      <c r="J30" s="202">
        <f>SUMIFS('Form 11''s Entry'!$E:$E,'Form 11''s Entry'!$A:$A,$A30)+SUMIFS('Prior Yr Expenses Entry'!$E:$E,'Prior Yr Expenses Entry'!$A:$A,$A30)</f>
        <v>0</v>
      </c>
      <c r="K30" s="9">
        <f>SUMIFS('Form 11''s Entry'!$F:$F,'Form 11''s Entry'!$A:$A,$A30)+SUMIFS('Prior Yr Expenses Entry'!$F:$F,'Prior Yr Expenses Entry'!$A:$A,$A30)</f>
        <v>0</v>
      </c>
      <c r="L30" s="24">
        <f>SUMIFS('Form 11''s Entry'!$G:$G,'Form 11''s Entry'!$A:$A,$A30)+SUMIFS('Form 11''s Entry'!$G:$G,'Form 11''s Entry'!$A:$A,$A30)</f>
        <v>0</v>
      </c>
      <c r="M30" s="12">
        <f>SUMIFS('Form 11''s Entry'!$H:$H,'Form 11''s Entry'!$A:$A,$A30)+SUMIFS('Prior Yr Expenses Entry'!$H:$H,'Prior Yr Expenses Entry'!$A:$A,$A30)</f>
        <v>0</v>
      </c>
      <c r="N30" s="25">
        <f>SUMIFS('Form 11''s Entry'!$I:$I,'Form 11''s Entry'!$A:$A,$A30)+SUMIFS('Prior Yr Expenses Entry'!$I:$I,'Prior Yr Expenses Entry'!$A:$A,$A30)</f>
        <v>0</v>
      </c>
      <c r="O30" s="18">
        <f>SUMIFS('Form 11''s Entry'!$J:$J,'Form 11''s Entry'!$A:$A,$A30)+SUMIFS('Prior Yr Expenses Entry'!$J:$J,'Prior Yr Expenses Entry'!$A:$A,$A30)</f>
        <v>0</v>
      </c>
      <c r="P30" s="9">
        <f>SUMIFS('Form 11''s Entry'!$K:$K,'Form 11''s Entry'!$A:$A,$A30)+SUMIFS('Prior Yr Expenses Entry'!$K:$K,'Prior Yr Expenses Entry'!$A:$A,$A30)</f>
        <v>0</v>
      </c>
      <c r="Q30" s="29">
        <f>SUMIFS('Form 11''s Entry'!$L:$L,'Form 11''s Entry'!$A:$A,$A30)+SUMIFS('Prior Yr Expenses Entry'!$L:$L,'Prior Yr Expenses Entry'!$A:$A,$A30)</f>
        <v>0</v>
      </c>
      <c r="R30" s="135">
        <f>SUMIFS('Form 11''s Entry'!$M:$M,'Form 11''s Entry'!$A:$A,$A30)+SUMIFS('Prior Yr Expenses Entry'!$M:$M,'Prior Yr Expenses Entry'!$A:$A,$A30)</f>
        <v>0</v>
      </c>
      <c r="S30" s="12">
        <f>SUMIFS('Form 11''s Entry'!$N:$N,'Form 11''s Entry'!$A:$A,$A30)+SUMIFS('Prior Yr Expenses Entry'!$N:$N,'Prior Yr Expenses Entry'!$A:$A,$A30)</f>
        <v>0</v>
      </c>
      <c r="T30" s="147">
        <f>SUMIFS('Form 11''s Entry'!$O:$O,'Form 11''s Entry'!$A:$A,$A30)+SUMIFS('Prior Yr Expenses Entry'!$O:$O,'Prior Yr Expenses Entry'!$A:$A,$A30)</f>
        <v>0</v>
      </c>
      <c r="U30" s="147">
        <f>SUMIFS('Form 11''s Entry'!$P:$P,'Form 11''s Entry'!$A:$A,$A30)+SUMIFS('Prior Yr Expenses Entry'!$P:$P,'Prior Yr Expenses Entry'!$A:$A,$A30)</f>
        <v>0</v>
      </c>
      <c r="V30" s="147">
        <f>SUMIFS('Form 11''s Entry'!$Q:$Q,'Form 11''s Entry'!$A:$A,$A30)+SUMIFS('Prior Yr Expenses Entry'!$Q:$Q,'Prior Yr Expenses Entry'!$A:$A,$A30)</f>
        <v>0</v>
      </c>
      <c r="W30" s="29">
        <f>SUMIFS('Form 11''s Entry'!$R:$R,'Form 11''s Entry'!$A:$A,$A30)+SUMIFS('Prior Yr Expenses Entry'!$R:$R,'Prior Yr Expenses Entry'!$A:$A,$A30)</f>
        <v>0</v>
      </c>
      <c r="X30" s="9">
        <f>SUMIFS('Form 11''s Entry'!$S:$S,'Form 11''s Entry'!$A:$A,$A30)+SUMIFS('Prior Yr Expenses Entry'!$S:$S,'Prior Yr Expenses Entry'!$A:$A,$A30)</f>
        <v>0</v>
      </c>
      <c r="Y30" s="29">
        <f>SUMIFS('Form 11''s Entry'!$T:$T,'Form 11''s Entry'!$A:$A,$A30)+SUMIFS('Prior Yr Expenses Entry'!$T:$T,'Prior Yr Expenses Entry'!$A:$A,$A30)</f>
        <v>500</v>
      </c>
      <c r="Z30" s="9">
        <f>SUMIFS('Form 11''s Entry'!$U:$U,'Form 11''s Entry'!$A:$A,$A30)+SUMIFS('Prior Yr Expenses Entry'!$U:$U,'Prior Yr Expenses Entry'!$A:$A,$A30)</f>
        <v>0</v>
      </c>
      <c r="AA30" s="29">
        <f>SUMIFS('Form 11''s Entry'!$V:$V,'Form 11''s Entry'!$A:$A,$A30)+SUMIFS('Prior Yr Expenses Entry'!$V:$V,'Prior Yr Expenses Entry'!$A:$A,$A30)</f>
        <v>0</v>
      </c>
      <c r="AD30" s="409"/>
    </row>
    <row r="31" spans="1:30" s="1" customFormat="1" x14ac:dyDescent="0.25">
      <c r="A31" s="33">
        <v>70</v>
      </c>
      <c r="B31" s="90" t="s">
        <v>24</v>
      </c>
      <c r="C31" s="90"/>
      <c r="D31" s="32"/>
      <c r="E31" s="323"/>
      <c r="F31" s="90"/>
      <c r="G31" s="31"/>
      <c r="H31" s="18">
        <f>SUMIFS('Form 11''s Entry'!$C:$C,'Form 11''s Entry'!$A:$A,$A31)+SUMIFS('Prior Yr Expenses Entry'!$C:$C,'Form 11''s Entry'!$A:$A,$A31)</f>
        <v>0</v>
      </c>
      <c r="I31" s="135">
        <f>SUMIFS('Form 11''s Entry'!$D:$D,'Form 11''s Entry'!$A:$A,$A31)+SUMIFS('Prior Yr Expenses Entry'!$D:$D,'Prior Yr Expenses Entry'!$A:$A,$A31)</f>
        <v>0</v>
      </c>
      <c r="J31" s="202">
        <f>SUMIFS('Form 11''s Entry'!$E:$E,'Form 11''s Entry'!$A:$A,$A31)+SUMIFS('Prior Yr Expenses Entry'!$E:$E,'Prior Yr Expenses Entry'!$A:$A,$A31)</f>
        <v>0</v>
      </c>
      <c r="K31" s="9">
        <f>SUMIFS('Form 11''s Entry'!$F:$F,'Form 11''s Entry'!$A:$A,$A31)+SUMIFS('Prior Yr Expenses Entry'!$F:$F,'Prior Yr Expenses Entry'!$A:$A,$A31)</f>
        <v>0</v>
      </c>
      <c r="L31" s="24">
        <f>SUMIFS('Form 11''s Entry'!$G:$G,'Form 11''s Entry'!$A:$A,$A31)+SUMIFS('Form 11''s Entry'!$G:$G,'Form 11''s Entry'!$A:$A,$A31)</f>
        <v>0</v>
      </c>
      <c r="M31" s="12">
        <f>SUMIFS('Form 11''s Entry'!$H:$H,'Form 11''s Entry'!$A:$A,$A31)+SUMIFS('Prior Yr Expenses Entry'!$H:$H,'Prior Yr Expenses Entry'!$A:$A,$A31)</f>
        <v>1000</v>
      </c>
      <c r="N31" s="25">
        <f>SUMIFS('Form 11''s Entry'!$I:$I,'Form 11''s Entry'!$A:$A,$A31)+SUMIFS('Prior Yr Expenses Entry'!$I:$I,'Prior Yr Expenses Entry'!$A:$A,$A31)</f>
        <v>0</v>
      </c>
      <c r="O31" s="18">
        <f>SUMIFS('Form 11''s Entry'!$J:$J,'Form 11''s Entry'!$A:$A,$A31)+SUMIFS('Prior Yr Expenses Entry'!$J:$J,'Prior Yr Expenses Entry'!$A:$A,$A31)</f>
        <v>0</v>
      </c>
      <c r="P31" s="9">
        <f>SUMIFS('Form 11''s Entry'!$K:$K,'Form 11''s Entry'!$A:$A,$A31)+SUMIFS('Prior Yr Expenses Entry'!$K:$K,'Prior Yr Expenses Entry'!$A:$A,$A31)</f>
        <v>0</v>
      </c>
      <c r="Q31" s="29">
        <f>SUMIFS('Form 11''s Entry'!$L:$L,'Form 11''s Entry'!$A:$A,$A31)+SUMIFS('Prior Yr Expenses Entry'!$L:$L,'Prior Yr Expenses Entry'!$A:$A,$A31)</f>
        <v>0</v>
      </c>
      <c r="R31" s="135">
        <f>SUMIFS('Form 11''s Entry'!$M:$M,'Form 11''s Entry'!$A:$A,$A31)+SUMIFS('Prior Yr Expenses Entry'!$M:$M,'Prior Yr Expenses Entry'!$A:$A,$A31)</f>
        <v>0</v>
      </c>
      <c r="S31" s="12">
        <f>SUMIFS('Form 11''s Entry'!$N:$N,'Form 11''s Entry'!$A:$A,$A31)+SUMIFS('Prior Yr Expenses Entry'!$N:$N,'Prior Yr Expenses Entry'!$A:$A,$A31)</f>
        <v>2300</v>
      </c>
      <c r="T31" s="147">
        <f>SUMIFS('Form 11''s Entry'!$O:$O,'Form 11''s Entry'!$A:$A,$A31)+SUMIFS('Prior Yr Expenses Entry'!$O:$O,'Prior Yr Expenses Entry'!$A:$A,$A31)</f>
        <v>0</v>
      </c>
      <c r="U31" s="147">
        <f>SUMIFS('Form 11''s Entry'!$P:$P,'Form 11''s Entry'!$A:$A,$A31)+SUMIFS('Prior Yr Expenses Entry'!$P:$P,'Prior Yr Expenses Entry'!$A:$A,$A31)</f>
        <v>0</v>
      </c>
      <c r="V31" s="147">
        <f>SUMIFS('Form 11''s Entry'!$Q:$Q,'Form 11''s Entry'!$A:$A,$A31)+SUMIFS('Prior Yr Expenses Entry'!$Q:$Q,'Prior Yr Expenses Entry'!$A:$A,$A31)</f>
        <v>0</v>
      </c>
      <c r="W31" s="29">
        <f>SUMIFS('Form 11''s Entry'!$R:$R,'Form 11''s Entry'!$A:$A,$A31)+SUMIFS('Prior Yr Expenses Entry'!$R:$R,'Prior Yr Expenses Entry'!$A:$A,$A31)</f>
        <v>0</v>
      </c>
      <c r="X31" s="9">
        <f>SUMIFS('Form 11''s Entry'!$S:$S,'Form 11''s Entry'!$A:$A,$A31)+SUMIFS('Prior Yr Expenses Entry'!$S:$S,'Prior Yr Expenses Entry'!$A:$A,$A31)</f>
        <v>0</v>
      </c>
      <c r="Y31" s="29">
        <f>SUMIFS('Form 11''s Entry'!$T:$T,'Form 11''s Entry'!$A:$A,$A31)+SUMIFS('Prior Yr Expenses Entry'!$T:$T,'Prior Yr Expenses Entry'!$A:$A,$A31)</f>
        <v>2400</v>
      </c>
      <c r="Z31" s="9">
        <f>SUMIFS('Form 11''s Entry'!$U:$U,'Form 11''s Entry'!$A:$A,$A31)+SUMIFS('Prior Yr Expenses Entry'!$U:$U,'Prior Yr Expenses Entry'!$A:$A,$A31)</f>
        <v>0</v>
      </c>
      <c r="AA31" s="29">
        <f>SUMIFS('Form 11''s Entry'!$V:$V,'Form 11''s Entry'!$A:$A,$A31)+SUMIFS('Prior Yr Expenses Entry'!$V:$V,'Prior Yr Expenses Entry'!$A:$A,$A31)</f>
        <v>200</v>
      </c>
      <c r="AD31" s="409"/>
    </row>
    <row r="32" spans="1:30" s="131" customFormat="1" x14ac:dyDescent="0.25">
      <c r="A32" s="129">
        <v>72</v>
      </c>
      <c r="B32" s="104" t="s">
        <v>66</v>
      </c>
      <c r="C32" s="104"/>
      <c r="D32" s="158"/>
      <c r="E32" s="228"/>
      <c r="F32" s="104"/>
      <c r="G32" s="130"/>
      <c r="H32" s="61">
        <v>0</v>
      </c>
      <c r="I32" s="34">
        <v>33877234.799999997</v>
      </c>
      <c r="J32" s="35">
        <v>0</v>
      </c>
      <c r="K32" s="34">
        <v>0</v>
      </c>
      <c r="L32" s="67">
        <v>140459226.30000001</v>
      </c>
      <c r="M32" s="35">
        <v>0</v>
      </c>
      <c r="N32" s="63">
        <v>0</v>
      </c>
      <c r="O32" s="61">
        <v>0</v>
      </c>
      <c r="P32" s="34">
        <v>0</v>
      </c>
      <c r="Q32" s="66">
        <v>0</v>
      </c>
      <c r="R32" s="135">
        <f>SUMIFS('Form 11''s Entry'!$M:$M,'Form 11''s Entry'!$A:$A,$A32)+SUMIFS('Prior Yr Expenses Entry'!$M:$M,'Prior Yr Expenses Entry'!$A:$A,$A32)</f>
        <v>315505044</v>
      </c>
      <c r="S32" s="12">
        <v>0</v>
      </c>
      <c r="T32" s="147">
        <v>0</v>
      </c>
      <c r="U32" s="147">
        <v>0</v>
      </c>
      <c r="V32" s="147">
        <v>0</v>
      </c>
      <c r="W32" s="29">
        <v>0</v>
      </c>
      <c r="X32" s="34">
        <f>430494.75+1291683</f>
        <v>1722177.75</v>
      </c>
      <c r="Y32" s="66">
        <v>0</v>
      </c>
      <c r="Z32" s="34">
        <v>0</v>
      </c>
      <c r="AA32" s="66">
        <f>SUMIFS('Form 11''s Entry'!$V:$V,'Form 11''s Entry'!$A:$A,$A32)+SUMIFS('Prior Yr Expenses Entry'!$V:$V,'Prior Yr Expenses Entry'!$A:$A,$A32)</f>
        <v>0</v>
      </c>
      <c r="AD32" s="410"/>
    </row>
    <row r="33" spans="1:27" s="131" customFormat="1" x14ac:dyDescent="0.25">
      <c r="A33" s="203">
        <v>72</v>
      </c>
      <c r="B33" s="104" t="s">
        <v>55</v>
      </c>
      <c r="C33" s="104"/>
      <c r="D33" s="158"/>
      <c r="E33" s="228"/>
      <c r="F33" s="104"/>
      <c r="G33" s="130"/>
      <c r="H33" s="61">
        <f>+H74</f>
        <v>5768761.4299999997</v>
      </c>
      <c r="I33" s="34">
        <f t="shared" ref="I33:Q33" si="3">+I74</f>
        <v>0</v>
      </c>
      <c r="J33" s="35">
        <f t="shared" si="3"/>
        <v>0</v>
      </c>
      <c r="K33" s="34">
        <f t="shared" si="3"/>
        <v>2785183.41</v>
      </c>
      <c r="L33" s="67">
        <f>+L74</f>
        <v>0</v>
      </c>
      <c r="M33" s="35">
        <f>+M74</f>
        <v>0</v>
      </c>
      <c r="N33" s="63">
        <f>+N74</f>
        <v>9000000</v>
      </c>
      <c r="O33" s="61">
        <f t="shared" si="3"/>
        <v>1350000</v>
      </c>
      <c r="P33" s="34">
        <f t="shared" si="3"/>
        <v>6787505.8700000001</v>
      </c>
      <c r="Q33" s="66">
        <f t="shared" si="3"/>
        <v>0</v>
      </c>
      <c r="R33" s="136">
        <f t="shared" ref="R33:AA33" si="4">+R74</f>
        <v>0</v>
      </c>
      <c r="S33" s="12">
        <f t="shared" si="4"/>
        <v>0</v>
      </c>
      <c r="T33" s="148">
        <f t="shared" si="4"/>
        <v>3810101</v>
      </c>
      <c r="U33" s="148">
        <f t="shared" si="4"/>
        <v>2500000</v>
      </c>
      <c r="V33" s="148">
        <f t="shared" si="4"/>
        <v>1051684</v>
      </c>
      <c r="W33" s="66">
        <f t="shared" si="4"/>
        <v>2359000</v>
      </c>
      <c r="X33" s="34">
        <f t="shared" si="4"/>
        <v>0</v>
      </c>
      <c r="Y33" s="66">
        <f t="shared" si="4"/>
        <v>0</v>
      </c>
      <c r="Z33" s="34">
        <f t="shared" si="4"/>
        <v>1799478.1099999999</v>
      </c>
      <c r="AA33" s="66">
        <f t="shared" si="4"/>
        <v>0</v>
      </c>
    </row>
    <row r="34" spans="1:27" s="131" customFormat="1" x14ac:dyDescent="0.25">
      <c r="A34" s="129">
        <v>80</v>
      </c>
      <c r="B34" s="104" t="s">
        <v>25</v>
      </c>
      <c r="C34" s="104"/>
      <c r="D34" s="158"/>
      <c r="E34" s="228"/>
      <c r="F34" s="104"/>
      <c r="G34" s="130"/>
      <c r="H34" s="18">
        <f>SUMIFS('Form 11''s Entry'!$C:$C,'Form 11''s Entry'!$A:$A,$A34)+SUMIFS('Prior Yr Expenses Entry'!$C:$C,'Form 11''s Entry'!$A:$A,$A34)</f>
        <v>3250</v>
      </c>
      <c r="I34" s="34">
        <f>SUMIFS('Form 11''s Entry'!$D:$D,'Form 11''s Entry'!$A:$A,$A34)</f>
        <v>0</v>
      </c>
      <c r="J34" s="35">
        <f>SUMIFS('Form 11''s Entry'!$E:$E,'Form 11''s Entry'!$A:$A,$A34)</f>
        <v>0</v>
      </c>
      <c r="K34" s="34">
        <f>SUMIFS('Form 11''s Entry'!$F:$F,'Form 11''s Entry'!$A:$A,$A34)</f>
        <v>0</v>
      </c>
      <c r="L34" s="24">
        <f>SUMIFS('Form 11''s Entry'!$G:$G,'Form 11''s Entry'!$A:$A,$A34)+SUMIFS('Form 11''s Entry'!$G:$G,'Form 11''s Entry'!$A:$A,$A34)</f>
        <v>0</v>
      </c>
      <c r="M34" s="12">
        <f>SUMIFS('Form 11''s Entry'!$H:$H,'Form 11''s Entry'!$A:$A,$A34)+SUMIFS('Prior Yr Expenses Entry'!$H:$H,'Prior Yr Expenses Entry'!$A:$A,$A34)</f>
        <v>0</v>
      </c>
      <c r="N34" s="25">
        <f>SUMIFS('Form 11''s Entry'!$I:$I,'Form 11''s Entry'!$A:$A,$A34)+SUMIFS('Prior Yr Expenses Entry'!$I:$I,'Prior Yr Expenses Entry'!$A:$A,$A34)</f>
        <v>0</v>
      </c>
      <c r="O34" s="18">
        <f>SUMIFS('Form 11''s Entry'!$J:$J,'Form 11''s Entry'!$A:$A,$A34)+SUMIFS('Prior Yr Expenses Entry'!$J:$J,'Prior Yr Expenses Entry'!$A:$A,$A34)</f>
        <v>0</v>
      </c>
      <c r="P34" s="9">
        <f>SUMIFS('Form 11''s Entry'!$K:$K,'Form 11''s Entry'!$A:$A,$A34)+SUMIFS('Prior Yr Expenses Entry'!$K:$K,'Prior Yr Expenses Entry'!$A:$A,$A34)</f>
        <v>0</v>
      </c>
      <c r="Q34" s="29">
        <f>SUMIFS('Form 11''s Entry'!$L:$L,'Form 11''s Entry'!$A:$A,$A34)+SUMIFS('Prior Yr Expenses Entry'!$L:$L,'Prior Yr Expenses Entry'!$A:$A,$A34)</f>
        <v>0</v>
      </c>
      <c r="R34" s="135">
        <f>SUMIFS('Form 11''s Entry'!$M:$M,'Form 11''s Entry'!$A:$A,$A34)</f>
        <v>0</v>
      </c>
      <c r="S34" s="12">
        <f>SUMIFS('Form 11''s Entry'!$N:$N,'Form 11''s Entry'!$A:$A,$A34)</f>
        <v>5500</v>
      </c>
      <c r="T34" s="147">
        <f>SUMIFS('Form 11''s Entry'!$O:$O,'Form 11''s Entry'!$A:$A,$A34)</f>
        <v>0</v>
      </c>
      <c r="U34" s="147">
        <f>SUMIFS('Form 11''s Entry'!$P:$P,'Form 11''s Entry'!$A:$A,$A34)</f>
        <v>0</v>
      </c>
      <c r="V34" s="147">
        <f>SUMIFS('Form 11''s Entry'!$Q:$Q,'Form 11''s Entry'!$A:$A,$A34)</f>
        <v>0</v>
      </c>
      <c r="W34" s="29">
        <f>SUMIFS('Form 11''s Entry'!$R:$R,'Form 11''s Entry'!$A:$A,$A34)</f>
        <v>0</v>
      </c>
      <c r="X34" s="34">
        <f>SUMIFS('Form 11''s Entry'!$S:$S,'Form 11''s Entry'!$A:$A,$A34)</f>
        <v>0</v>
      </c>
      <c r="Y34" s="29">
        <f>SUMIFS('Form 11''s Entry'!$T:$T,'Form 11''s Entry'!$A:$A,$A34)+SUMIFS('Prior Yr Expenses Entry'!$T:$T,'Prior Yr Expenses Entry'!$A:$A,$A34)</f>
        <v>5000</v>
      </c>
      <c r="Z34" s="34">
        <f>SUMIFS('Form 11''s Entry'!$U:$U,'Form 11''s Entry'!$A:$A,$A34)+SUMIFS('Prior Yr Expenses Entry'!$U:$U,'Prior Yr Expenses Entry'!$A:$A,$A34)</f>
        <v>0</v>
      </c>
      <c r="AA34" s="66">
        <f>SUMIFS('Form 11''s Entry'!$V:$V,'Form 11''s Entry'!$A:$A,$A34)+SUMIFS('Prior Yr Expenses Entry'!$V:$V,'Prior Yr Expenses Entry'!$A:$A,$A34)</f>
        <v>500</v>
      </c>
    </row>
    <row r="35" spans="1:27" s="131" customFormat="1" x14ac:dyDescent="0.25">
      <c r="A35" s="129">
        <v>102</v>
      </c>
      <c r="B35" s="104" t="s">
        <v>56</v>
      </c>
      <c r="C35" s="104"/>
      <c r="D35" s="158"/>
      <c r="E35" s="228"/>
      <c r="F35" s="104"/>
      <c r="G35" s="130"/>
      <c r="H35" s="61">
        <f>+H149</f>
        <v>2120243.5300000003</v>
      </c>
      <c r="I35" s="34">
        <f t="shared" ref="I35:Q35" si="5">+I149</f>
        <v>0</v>
      </c>
      <c r="J35" s="35">
        <f t="shared" si="5"/>
        <v>10720</v>
      </c>
      <c r="K35" s="34">
        <f t="shared" si="5"/>
        <v>433441.45</v>
      </c>
      <c r="L35" s="67">
        <f>+L149</f>
        <v>0</v>
      </c>
      <c r="M35" s="35">
        <f>+M149</f>
        <v>0</v>
      </c>
      <c r="N35" s="63">
        <f>+N149</f>
        <v>4498587.45</v>
      </c>
      <c r="O35" s="61">
        <f t="shared" si="5"/>
        <v>2183642</v>
      </c>
      <c r="P35" s="34">
        <f t="shared" si="5"/>
        <v>0</v>
      </c>
      <c r="Q35" s="66">
        <f t="shared" si="5"/>
        <v>118602.42</v>
      </c>
      <c r="R35" s="136">
        <f>+R149</f>
        <v>0</v>
      </c>
      <c r="S35" s="35">
        <f t="shared" ref="S35:AA35" si="6">+S149</f>
        <v>0</v>
      </c>
      <c r="T35" s="148">
        <f t="shared" si="6"/>
        <v>13717956</v>
      </c>
      <c r="U35" s="148">
        <f t="shared" si="6"/>
        <v>1005612</v>
      </c>
      <c r="V35" s="148">
        <f t="shared" si="6"/>
        <v>2453928</v>
      </c>
      <c r="W35" s="66">
        <f t="shared" si="6"/>
        <v>5507708.6600000001</v>
      </c>
      <c r="X35" s="34">
        <f t="shared" si="6"/>
        <v>0</v>
      </c>
      <c r="Y35" s="66">
        <f t="shared" si="6"/>
        <v>445688</v>
      </c>
      <c r="Z35" s="34">
        <f t="shared" si="6"/>
        <v>0</v>
      </c>
      <c r="AA35" s="66">
        <f t="shared" si="6"/>
        <v>120126</v>
      </c>
    </row>
    <row r="36" spans="1:27" s="1" customFormat="1" x14ac:dyDescent="0.25">
      <c r="A36" s="59"/>
      <c r="B36" s="91"/>
      <c r="C36" s="91"/>
      <c r="D36" s="224"/>
      <c r="E36" s="324"/>
      <c r="F36" s="91"/>
      <c r="G36" s="60"/>
      <c r="H36" s="82"/>
      <c r="I36" s="83"/>
      <c r="J36" s="86"/>
      <c r="K36" s="83"/>
      <c r="L36" s="85"/>
      <c r="M36" s="86"/>
      <c r="N36" s="87"/>
      <c r="O36" s="82"/>
      <c r="P36" s="83"/>
      <c r="Q36" s="84"/>
      <c r="R36" s="137"/>
      <c r="S36" s="86"/>
      <c r="T36" s="149"/>
      <c r="U36" s="149"/>
      <c r="V36" s="149"/>
      <c r="W36" s="84"/>
      <c r="X36" s="83"/>
      <c r="Y36" s="84"/>
      <c r="Z36" s="83"/>
      <c r="AA36" s="84"/>
    </row>
    <row r="37" spans="1:27" s="1" customFormat="1" x14ac:dyDescent="0.25">
      <c r="A37" s="49"/>
      <c r="B37" s="75" t="s">
        <v>14</v>
      </c>
      <c r="C37" s="75"/>
      <c r="D37" s="225"/>
      <c r="E37" s="325"/>
      <c r="F37" s="75"/>
      <c r="G37" s="75"/>
      <c r="H37" s="76">
        <f>SUM(H15:H35)</f>
        <v>7981362.2639404694</v>
      </c>
      <c r="I37" s="77">
        <f t="shared" ref="I37:W37" si="7">SUM(I15:I35)</f>
        <v>33877234.799999997</v>
      </c>
      <c r="J37" s="78">
        <f t="shared" si="7"/>
        <v>171849.089894025</v>
      </c>
      <c r="K37" s="77">
        <f t="shared" si="7"/>
        <v>3222052.0500000003</v>
      </c>
      <c r="L37" s="80">
        <f>SUM(L15:L35)</f>
        <v>140459226.30000001</v>
      </c>
      <c r="M37" s="78">
        <f>SUM(M15:M35)</f>
        <v>534939.63383254001</v>
      </c>
      <c r="N37" s="81">
        <f>SUM(N15:N35)</f>
        <v>13498587.449999999</v>
      </c>
      <c r="O37" s="76">
        <f t="shared" si="7"/>
        <v>3752945.5123822503</v>
      </c>
      <c r="P37" s="77">
        <f t="shared" si="7"/>
        <v>6787505.8700000001</v>
      </c>
      <c r="Q37" s="79">
        <f t="shared" si="7"/>
        <v>185486.49074981999</v>
      </c>
      <c r="R37" s="138">
        <f t="shared" si="7"/>
        <v>315505044</v>
      </c>
      <c r="S37" s="78">
        <f t="shared" si="7"/>
        <v>1395936.6530620749</v>
      </c>
      <c r="T37" s="78">
        <f t="shared" si="7"/>
        <v>17528057</v>
      </c>
      <c r="U37" s="78">
        <f t="shared" si="7"/>
        <v>3505612</v>
      </c>
      <c r="V37" s="78">
        <f t="shared" si="7"/>
        <v>3505612</v>
      </c>
      <c r="W37" s="79">
        <f t="shared" si="7"/>
        <v>7866708.6600000001</v>
      </c>
      <c r="X37" s="77">
        <f>SUM(X15:X35)</f>
        <v>1722177.75</v>
      </c>
      <c r="Y37" s="79">
        <f>SUM(Y15:Y35)</f>
        <v>547468.31941657001</v>
      </c>
      <c r="Z37" s="77">
        <f>SUM(Z15:Z35)</f>
        <v>1799478.1099999999</v>
      </c>
      <c r="AA37" s="79">
        <f>SUM(AA15:AA35)</f>
        <v>205817.20756040001</v>
      </c>
    </row>
    <row r="38" spans="1:27" s="1" customFormat="1" x14ac:dyDescent="0.25">
      <c r="A38" s="41"/>
      <c r="B38" s="42"/>
      <c r="C38" s="42"/>
      <c r="D38" s="42"/>
      <c r="E38" s="326"/>
      <c r="F38" s="42"/>
      <c r="G38" s="42"/>
      <c r="H38" s="43"/>
      <c r="I38" s="44"/>
      <c r="J38" s="45"/>
      <c r="K38" s="44"/>
      <c r="L38" s="47"/>
      <c r="M38" s="45"/>
      <c r="N38" s="48"/>
      <c r="O38" s="43"/>
      <c r="P38" s="44"/>
      <c r="Q38" s="46"/>
      <c r="R38" s="139"/>
      <c r="S38" s="45"/>
      <c r="T38" s="150"/>
      <c r="U38" s="150"/>
      <c r="V38" s="150"/>
      <c r="W38" s="46"/>
      <c r="X38" s="44"/>
      <c r="Y38" s="46"/>
      <c r="Z38" s="44"/>
      <c r="AA38" s="46"/>
    </row>
    <row r="39" spans="1:27" s="1" customFormat="1" x14ac:dyDescent="0.25">
      <c r="A39" s="32" t="s">
        <v>19</v>
      </c>
      <c r="B39" s="30" t="s">
        <v>41</v>
      </c>
      <c r="C39" s="30" t="s">
        <v>205</v>
      </c>
      <c r="D39" s="30" t="s">
        <v>148</v>
      </c>
      <c r="E39" s="322" t="s">
        <v>315</v>
      </c>
      <c r="F39" s="30" t="s">
        <v>62</v>
      </c>
      <c r="G39" s="30" t="s">
        <v>47</v>
      </c>
      <c r="H39" s="61"/>
      <c r="I39" s="9"/>
      <c r="J39" s="12"/>
      <c r="K39" s="9"/>
      <c r="L39" s="24"/>
      <c r="M39" s="12"/>
      <c r="N39" s="25"/>
      <c r="O39" s="18"/>
      <c r="P39" s="9"/>
      <c r="Q39" s="29"/>
      <c r="R39" s="135"/>
      <c r="S39" s="12"/>
      <c r="T39" s="147"/>
      <c r="U39" s="147"/>
      <c r="V39" s="147"/>
      <c r="W39" s="29"/>
      <c r="X39" s="9"/>
      <c r="Y39" s="29"/>
      <c r="Z39" s="9"/>
      <c r="AA39" s="29"/>
    </row>
    <row r="40" spans="1:27" s="131" customFormat="1" x14ac:dyDescent="0.25">
      <c r="A40" s="158">
        <v>72</v>
      </c>
      <c r="B40" s="485" t="s">
        <v>298</v>
      </c>
      <c r="C40" s="104" t="s">
        <v>206</v>
      </c>
      <c r="D40" s="158">
        <v>1080435</v>
      </c>
      <c r="E40" s="228" t="s">
        <v>146</v>
      </c>
      <c r="F40" s="106" t="s">
        <v>64</v>
      </c>
      <c r="G40" s="159" t="s">
        <v>152</v>
      </c>
      <c r="H40" s="211">
        <f>559999.92-231412.54</f>
        <v>328587.38</v>
      </c>
      <c r="I40" s="34">
        <v>0</v>
      </c>
      <c r="J40" s="35">
        <v>0</v>
      </c>
      <c r="K40" s="34">
        <v>0</v>
      </c>
      <c r="L40" s="67">
        <v>0</v>
      </c>
      <c r="M40" s="35">
        <v>0</v>
      </c>
      <c r="N40" s="63">
        <v>0</v>
      </c>
      <c r="O40" s="61">
        <v>0</v>
      </c>
      <c r="P40" s="34">
        <v>0</v>
      </c>
      <c r="Q40" s="66">
        <v>0</v>
      </c>
      <c r="R40" s="136">
        <v>0</v>
      </c>
      <c r="S40" s="35">
        <v>0</v>
      </c>
      <c r="T40" s="148">
        <v>0</v>
      </c>
      <c r="U40" s="148">
        <v>0</v>
      </c>
      <c r="V40" s="148">
        <v>0</v>
      </c>
      <c r="W40" s="66">
        <v>0</v>
      </c>
      <c r="X40" s="100">
        <v>0</v>
      </c>
      <c r="Y40" s="128">
        <v>0</v>
      </c>
      <c r="Z40" s="34">
        <v>0</v>
      </c>
      <c r="AA40" s="66">
        <v>0</v>
      </c>
    </row>
    <row r="41" spans="1:27" s="131" customFormat="1" x14ac:dyDescent="0.25">
      <c r="A41" s="158">
        <v>72</v>
      </c>
      <c r="B41" s="485" t="s">
        <v>298</v>
      </c>
      <c r="C41" s="104" t="s">
        <v>206</v>
      </c>
      <c r="D41" s="158">
        <v>1083746</v>
      </c>
      <c r="E41" s="228" t="s">
        <v>333</v>
      </c>
      <c r="F41" s="106" t="s">
        <v>64</v>
      </c>
      <c r="G41" s="159" t="s">
        <v>152</v>
      </c>
      <c r="H41" s="211">
        <v>0</v>
      </c>
      <c r="I41" s="34">
        <v>0</v>
      </c>
      <c r="J41" s="35">
        <v>0</v>
      </c>
      <c r="K41" s="34">
        <v>0</v>
      </c>
      <c r="L41" s="67">
        <v>0</v>
      </c>
      <c r="M41" s="35">
        <v>0</v>
      </c>
      <c r="N41" s="63">
        <v>0</v>
      </c>
      <c r="O41" s="61">
        <v>1350000</v>
      </c>
      <c r="P41" s="34">
        <v>0</v>
      </c>
      <c r="Q41" s="66">
        <v>0</v>
      </c>
      <c r="R41" s="136">
        <v>0</v>
      </c>
      <c r="S41" s="35">
        <v>0</v>
      </c>
      <c r="T41" s="148">
        <v>0</v>
      </c>
      <c r="U41" s="148">
        <v>0</v>
      </c>
      <c r="V41" s="148">
        <v>0</v>
      </c>
      <c r="W41" s="66">
        <v>0</v>
      </c>
      <c r="X41" s="100">
        <v>0</v>
      </c>
      <c r="Y41" s="128">
        <v>0</v>
      </c>
      <c r="Z41" s="34">
        <v>0</v>
      </c>
      <c r="AA41" s="66">
        <v>0</v>
      </c>
    </row>
    <row r="42" spans="1:27" s="131" customFormat="1" x14ac:dyDescent="0.25">
      <c r="A42" s="158">
        <v>72</v>
      </c>
      <c r="B42" s="105" t="s">
        <v>207</v>
      </c>
      <c r="C42" s="105" t="s">
        <v>206</v>
      </c>
      <c r="D42" s="158">
        <v>1079463</v>
      </c>
      <c r="E42" s="343" t="s">
        <v>332</v>
      </c>
      <c r="F42" s="106" t="s">
        <v>64</v>
      </c>
      <c r="G42" s="159" t="s">
        <v>63</v>
      </c>
      <c r="H42" s="61">
        <f>3000000-H133-1269000</f>
        <v>1706000</v>
      </c>
      <c r="I42" s="34">
        <v>0</v>
      </c>
      <c r="J42" s="35">
        <v>0</v>
      </c>
      <c r="K42" s="34">
        <v>0</v>
      </c>
      <c r="L42" s="67">
        <v>0</v>
      </c>
      <c r="M42" s="35">
        <v>0</v>
      </c>
      <c r="N42" s="63">
        <v>0</v>
      </c>
      <c r="O42" s="61">
        <v>0</v>
      </c>
      <c r="P42" s="34">
        <v>0</v>
      </c>
      <c r="Q42" s="66">
        <v>0</v>
      </c>
      <c r="R42" s="136">
        <v>0</v>
      </c>
      <c r="S42" s="35">
        <v>0</v>
      </c>
      <c r="T42" s="148">
        <v>0</v>
      </c>
      <c r="U42" s="148">
        <v>2500000</v>
      </c>
      <c r="V42" s="148">
        <v>0</v>
      </c>
      <c r="W42" s="66">
        <v>0</v>
      </c>
      <c r="X42" s="100">
        <v>0</v>
      </c>
      <c r="Y42" s="128">
        <v>0</v>
      </c>
      <c r="Z42" s="34">
        <v>0</v>
      </c>
      <c r="AA42" s="66">
        <v>0</v>
      </c>
    </row>
    <row r="43" spans="1:27" s="1" customFormat="1" x14ac:dyDescent="0.25">
      <c r="A43" s="33">
        <v>72</v>
      </c>
      <c r="B43" s="105" t="s">
        <v>426</v>
      </c>
      <c r="C43" s="104" t="s">
        <v>211</v>
      </c>
      <c r="D43" s="158">
        <v>1077478</v>
      </c>
      <c r="E43" s="228" t="s">
        <v>423</v>
      </c>
      <c r="F43" s="106" t="s">
        <v>64</v>
      </c>
      <c r="G43" s="88" t="s">
        <v>356</v>
      </c>
      <c r="H43" s="18">
        <v>0</v>
      </c>
      <c r="I43" s="9">
        <v>0</v>
      </c>
      <c r="J43" s="12">
        <v>0</v>
      </c>
      <c r="K43" s="9">
        <v>90000</v>
      </c>
      <c r="L43" s="24">
        <v>0</v>
      </c>
      <c r="M43" s="12">
        <v>0</v>
      </c>
      <c r="N43" s="25">
        <v>0</v>
      </c>
      <c r="O43" s="18">
        <v>0</v>
      </c>
      <c r="P43" s="9">
        <v>0</v>
      </c>
      <c r="Q43" s="29">
        <v>0</v>
      </c>
      <c r="R43" s="135">
        <v>0</v>
      </c>
      <c r="S43" s="12">
        <v>0</v>
      </c>
      <c r="T43" s="147">
        <v>0</v>
      </c>
      <c r="U43" s="147">
        <v>0</v>
      </c>
      <c r="V43" s="147">
        <v>0</v>
      </c>
      <c r="W43" s="29">
        <v>0</v>
      </c>
      <c r="X43" s="100">
        <v>0</v>
      </c>
      <c r="Y43" s="128">
        <v>0</v>
      </c>
      <c r="Z43" s="9">
        <v>0</v>
      </c>
      <c r="AA43" s="29">
        <v>0</v>
      </c>
    </row>
    <row r="44" spans="1:27" s="1" customFormat="1" x14ac:dyDescent="0.25">
      <c r="A44" s="32">
        <v>72</v>
      </c>
      <c r="B44" s="105" t="s">
        <v>270</v>
      </c>
      <c r="C44" s="104" t="s">
        <v>218</v>
      </c>
      <c r="D44" s="158">
        <v>1079111</v>
      </c>
      <c r="E44" s="228" t="s">
        <v>327</v>
      </c>
      <c r="F44" s="106" t="s">
        <v>64</v>
      </c>
      <c r="G44" s="159" t="s">
        <v>404</v>
      </c>
      <c r="H44" s="61">
        <v>0</v>
      </c>
      <c r="I44" s="9">
        <v>0</v>
      </c>
      <c r="J44" s="12">
        <v>0</v>
      </c>
      <c r="K44" s="9">
        <v>0</v>
      </c>
      <c r="L44" s="24">
        <v>0</v>
      </c>
      <c r="M44" s="12">
        <v>0</v>
      </c>
      <c r="N44" s="63">
        <v>3250000</v>
      </c>
      <c r="O44" s="18">
        <v>0</v>
      </c>
      <c r="P44" s="9">
        <v>0</v>
      </c>
      <c r="Q44" s="29">
        <v>0</v>
      </c>
      <c r="R44" s="135">
        <v>0</v>
      </c>
      <c r="S44" s="12">
        <v>0</v>
      </c>
      <c r="T44" s="147">
        <v>2500000</v>
      </c>
      <c r="U44" s="147">
        <v>0</v>
      </c>
      <c r="V44" s="147">
        <v>0</v>
      </c>
      <c r="W44" s="29">
        <v>0</v>
      </c>
      <c r="X44" s="100">
        <v>0</v>
      </c>
      <c r="Y44" s="128">
        <v>0</v>
      </c>
      <c r="Z44" s="9">
        <v>0</v>
      </c>
      <c r="AA44" s="29">
        <v>0</v>
      </c>
    </row>
    <row r="45" spans="1:27" s="1" customFormat="1" x14ac:dyDescent="0.25">
      <c r="A45" s="33">
        <v>72</v>
      </c>
      <c r="B45" s="104" t="s">
        <v>386</v>
      </c>
      <c r="C45" s="104" t="s">
        <v>257</v>
      </c>
      <c r="D45" s="158">
        <v>1081842</v>
      </c>
      <c r="E45" s="228" t="s">
        <v>328</v>
      </c>
      <c r="F45" s="106" t="s">
        <v>64</v>
      </c>
      <c r="G45" s="88" t="s">
        <v>48</v>
      </c>
      <c r="H45" s="18">
        <f>1279189.08+756000+861125-163509.01-125980</f>
        <v>2606825.0700000003</v>
      </c>
      <c r="I45" s="9">
        <v>0</v>
      </c>
      <c r="J45" s="12">
        <v>0</v>
      </c>
      <c r="K45" s="9">
        <f>2896314.08-163508.98-125980</f>
        <v>2606825.1</v>
      </c>
      <c r="L45" s="24">
        <v>0</v>
      </c>
      <c r="M45" s="12">
        <v>0</v>
      </c>
      <c r="N45" s="25">
        <v>2304380</v>
      </c>
      <c r="O45" s="18">
        <v>0</v>
      </c>
      <c r="P45" s="9">
        <v>0</v>
      </c>
      <c r="Q45" s="29">
        <v>0</v>
      </c>
      <c r="R45" s="135">
        <v>0</v>
      </c>
      <c r="S45" s="12">
        <v>0</v>
      </c>
      <c r="T45" s="147">
        <v>0</v>
      </c>
      <c r="U45" s="147">
        <v>0</v>
      </c>
      <c r="V45" s="147">
        <v>0</v>
      </c>
      <c r="W45" s="29">
        <v>1734000</v>
      </c>
      <c r="X45" s="100">
        <v>0</v>
      </c>
      <c r="Y45" s="128">
        <v>0</v>
      </c>
      <c r="Z45" s="9">
        <v>0</v>
      </c>
      <c r="AA45" s="29">
        <v>0</v>
      </c>
    </row>
    <row r="46" spans="1:27" s="1" customFormat="1" x14ac:dyDescent="0.25">
      <c r="A46" s="32">
        <v>72</v>
      </c>
      <c r="B46" s="105" t="s">
        <v>330</v>
      </c>
      <c r="C46" s="104" t="s">
        <v>258</v>
      </c>
      <c r="D46" s="158" t="s">
        <v>258</v>
      </c>
      <c r="E46" s="342" t="s">
        <v>331</v>
      </c>
      <c r="F46" s="107" t="s">
        <v>64</v>
      </c>
      <c r="G46" s="159" t="s">
        <v>144</v>
      </c>
      <c r="H46" s="61">
        <v>0</v>
      </c>
      <c r="I46" s="34">
        <v>0</v>
      </c>
      <c r="J46" s="35">
        <v>0</v>
      </c>
      <c r="K46" s="34">
        <v>0</v>
      </c>
      <c r="L46" s="24">
        <v>0</v>
      </c>
      <c r="M46" s="12">
        <v>0</v>
      </c>
      <c r="N46" s="25">
        <f>109243.58+90742.18</f>
        <v>199985.76</v>
      </c>
      <c r="O46" s="61">
        <v>0</v>
      </c>
      <c r="P46" s="9">
        <v>0</v>
      </c>
      <c r="Q46" s="29">
        <v>0</v>
      </c>
      <c r="R46" s="136">
        <v>0</v>
      </c>
      <c r="S46" s="35">
        <v>0</v>
      </c>
      <c r="T46" s="148">
        <v>0</v>
      </c>
      <c r="U46" s="148">
        <v>0</v>
      </c>
      <c r="V46" s="148">
        <v>0</v>
      </c>
      <c r="W46" s="66">
        <v>0</v>
      </c>
      <c r="X46" s="100">
        <v>0</v>
      </c>
      <c r="Y46" s="128">
        <v>0</v>
      </c>
      <c r="Z46" s="9">
        <v>0</v>
      </c>
      <c r="AA46" s="29">
        <v>0</v>
      </c>
    </row>
    <row r="47" spans="1:27" s="1" customFormat="1" x14ac:dyDescent="0.25">
      <c r="A47" s="32">
        <v>72</v>
      </c>
      <c r="B47" s="105" t="s">
        <v>290</v>
      </c>
      <c r="C47" s="104" t="s">
        <v>302</v>
      </c>
      <c r="D47" s="158">
        <v>1081753</v>
      </c>
      <c r="E47" s="327" t="s">
        <v>322</v>
      </c>
      <c r="F47" s="107" t="s">
        <v>64</v>
      </c>
      <c r="G47" s="159" t="s">
        <v>404</v>
      </c>
      <c r="H47" s="61">
        <v>0</v>
      </c>
      <c r="I47" s="34">
        <v>0</v>
      </c>
      <c r="J47" s="35">
        <v>0</v>
      </c>
      <c r="K47" s="34">
        <v>0</v>
      </c>
      <c r="L47" s="24">
        <v>0</v>
      </c>
      <c r="M47" s="12">
        <v>0</v>
      </c>
      <c r="N47" s="25">
        <v>0</v>
      </c>
      <c r="O47" s="61">
        <v>0</v>
      </c>
      <c r="P47" s="9">
        <f>1577863.33-81703.13</f>
        <v>1496160.2000000002</v>
      </c>
      <c r="Q47" s="29"/>
      <c r="R47" s="136"/>
      <c r="S47" s="35">
        <v>0</v>
      </c>
      <c r="T47" s="148">
        <v>0</v>
      </c>
      <c r="U47" s="148">
        <v>0</v>
      </c>
      <c r="V47" s="148">
        <v>0</v>
      </c>
      <c r="W47" s="66">
        <v>0</v>
      </c>
      <c r="X47" s="100">
        <v>0</v>
      </c>
      <c r="Y47" s="128">
        <v>0</v>
      </c>
      <c r="Z47" s="9">
        <v>0</v>
      </c>
      <c r="AA47" s="29">
        <v>0</v>
      </c>
    </row>
    <row r="48" spans="1:27" s="1" customFormat="1" ht="14.25" customHeight="1" x14ac:dyDescent="0.25">
      <c r="A48" s="32">
        <v>72</v>
      </c>
      <c r="B48" s="105" t="s">
        <v>288</v>
      </c>
      <c r="C48" s="104" t="s">
        <v>304</v>
      </c>
      <c r="D48" s="158" t="s">
        <v>305</v>
      </c>
      <c r="E48" s="228" t="s">
        <v>316</v>
      </c>
      <c r="F48" s="106" t="s">
        <v>64</v>
      </c>
      <c r="G48" s="88" t="s">
        <v>384</v>
      </c>
      <c r="H48" s="18">
        <v>0</v>
      </c>
      <c r="I48" s="9">
        <v>0</v>
      </c>
      <c r="J48" s="12">
        <v>0</v>
      </c>
      <c r="K48" s="9">
        <v>0</v>
      </c>
      <c r="L48" s="24">
        <v>0</v>
      </c>
      <c r="M48" s="12">
        <v>0</v>
      </c>
      <c r="N48" s="25">
        <v>0</v>
      </c>
      <c r="O48" s="18">
        <v>0</v>
      </c>
      <c r="P48" s="34">
        <v>2902089.79</v>
      </c>
      <c r="Q48" s="29">
        <v>0</v>
      </c>
      <c r="R48" s="135">
        <v>0</v>
      </c>
      <c r="S48" s="12">
        <v>0</v>
      </c>
      <c r="T48" s="147">
        <v>0</v>
      </c>
      <c r="U48" s="147">
        <v>0</v>
      </c>
      <c r="V48" s="147">
        <v>0</v>
      </c>
      <c r="W48" s="29">
        <v>0</v>
      </c>
      <c r="X48" s="100">
        <v>0</v>
      </c>
      <c r="Y48" s="128">
        <v>0</v>
      </c>
      <c r="Z48" s="34">
        <v>0</v>
      </c>
      <c r="AA48" s="29">
        <v>0</v>
      </c>
    </row>
    <row r="49" spans="1:27" s="1" customFormat="1" ht="14.25" customHeight="1" x14ac:dyDescent="0.25">
      <c r="A49" s="32">
        <v>72</v>
      </c>
      <c r="B49" s="105" t="s">
        <v>289</v>
      </c>
      <c r="C49" s="104" t="s">
        <v>304</v>
      </c>
      <c r="D49" s="158" t="s">
        <v>305</v>
      </c>
      <c r="E49" s="228" t="s">
        <v>316</v>
      </c>
      <c r="F49" s="106" t="s">
        <v>64</v>
      </c>
      <c r="G49" s="88" t="s">
        <v>384</v>
      </c>
      <c r="H49" s="18">
        <v>0</v>
      </c>
      <c r="I49" s="9">
        <v>0</v>
      </c>
      <c r="J49" s="12">
        <v>0</v>
      </c>
      <c r="K49" s="9">
        <v>0</v>
      </c>
      <c r="L49" s="24">
        <v>0</v>
      </c>
      <c r="M49" s="12">
        <v>0</v>
      </c>
      <c r="N49" s="25">
        <v>0</v>
      </c>
      <c r="O49" s="18">
        <v>0</v>
      </c>
      <c r="P49" s="34">
        <v>1979730.34</v>
      </c>
      <c r="Q49" s="29">
        <v>0</v>
      </c>
      <c r="R49" s="135">
        <v>0</v>
      </c>
      <c r="S49" s="12">
        <v>0</v>
      </c>
      <c r="T49" s="147">
        <v>0</v>
      </c>
      <c r="U49" s="147">
        <v>0</v>
      </c>
      <c r="V49" s="147">
        <v>0</v>
      </c>
      <c r="W49" s="29">
        <v>0</v>
      </c>
      <c r="X49" s="100">
        <v>0</v>
      </c>
      <c r="Y49" s="128">
        <v>0</v>
      </c>
      <c r="Z49" s="34">
        <v>0</v>
      </c>
      <c r="AA49" s="29">
        <v>0</v>
      </c>
    </row>
    <row r="50" spans="1:27" s="1" customFormat="1" ht="14.25" customHeight="1" x14ac:dyDescent="0.25">
      <c r="A50" s="50">
        <v>72</v>
      </c>
      <c r="B50" s="103" t="s">
        <v>374</v>
      </c>
      <c r="C50" s="212" t="s">
        <v>304</v>
      </c>
      <c r="D50" s="160" t="s">
        <v>305</v>
      </c>
      <c r="E50" s="327" t="s">
        <v>316</v>
      </c>
      <c r="F50" s="107" t="s">
        <v>64</v>
      </c>
      <c r="G50" s="89" t="s">
        <v>384</v>
      </c>
      <c r="H50" s="36">
        <v>0</v>
      </c>
      <c r="I50" s="37">
        <v>0</v>
      </c>
      <c r="J50" s="38">
        <v>0</v>
      </c>
      <c r="K50" s="37">
        <v>0</v>
      </c>
      <c r="L50" s="40">
        <v>0</v>
      </c>
      <c r="M50" s="38">
        <v>0</v>
      </c>
      <c r="N50" s="367">
        <v>0</v>
      </c>
      <c r="O50" s="36">
        <v>0</v>
      </c>
      <c r="P50" s="100">
        <v>0</v>
      </c>
      <c r="Q50" s="39">
        <v>0</v>
      </c>
      <c r="R50" s="143">
        <v>0</v>
      </c>
      <c r="S50" s="38">
        <v>0</v>
      </c>
      <c r="T50" s="153">
        <v>0</v>
      </c>
      <c r="U50" s="153">
        <v>0</v>
      </c>
      <c r="V50" s="153">
        <v>0</v>
      </c>
      <c r="W50" s="39">
        <v>0</v>
      </c>
      <c r="X50" s="100">
        <v>0</v>
      </c>
      <c r="Y50" s="128">
        <v>0</v>
      </c>
      <c r="Z50" s="100">
        <v>1148187.1499999999</v>
      </c>
      <c r="AA50" s="39"/>
    </row>
    <row r="51" spans="1:27" s="131" customFormat="1" x14ac:dyDescent="0.25">
      <c r="A51" s="160">
        <v>72</v>
      </c>
      <c r="B51" s="103" t="s">
        <v>272</v>
      </c>
      <c r="C51" s="103" t="s">
        <v>255</v>
      </c>
      <c r="D51" s="160">
        <v>1080782</v>
      </c>
      <c r="E51" s="342" t="s">
        <v>329</v>
      </c>
      <c r="F51" s="107" t="s">
        <v>64</v>
      </c>
      <c r="G51" s="161" t="s">
        <v>48</v>
      </c>
      <c r="H51" s="99">
        <v>0</v>
      </c>
      <c r="I51" s="100">
        <v>0</v>
      </c>
      <c r="J51" s="101">
        <v>0</v>
      </c>
      <c r="K51" s="100">
        <v>0</v>
      </c>
      <c r="L51" s="162">
        <v>0</v>
      </c>
      <c r="M51" s="101">
        <v>0</v>
      </c>
      <c r="N51" s="64">
        <f>3990000-1826757.67</f>
        <v>2163242.33</v>
      </c>
      <c r="O51" s="99">
        <v>0</v>
      </c>
      <c r="P51" s="100">
        <v>0</v>
      </c>
      <c r="Q51" s="128">
        <v>0</v>
      </c>
      <c r="R51" s="141">
        <v>0</v>
      </c>
      <c r="S51" s="101">
        <v>0</v>
      </c>
      <c r="T51" s="151">
        <v>0</v>
      </c>
      <c r="U51" s="151">
        <v>0</v>
      </c>
      <c r="V51" s="151">
        <v>0</v>
      </c>
      <c r="W51" s="128">
        <v>0</v>
      </c>
      <c r="X51" s="100">
        <v>0</v>
      </c>
      <c r="Y51" s="128">
        <v>0</v>
      </c>
      <c r="Z51" s="100">
        <v>0</v>
      </c>
      <c r="AA51" s="128">
        <v>0</v>
      </c>
    </row>
    <row r="52" spans="1:27" s="355" customFormat="1" x14ac:dyDescent="0.25">
      <c r="A52" s="241">
        <v>72</v>
      </c>
      <c r="B52" s="345" t="s">
        <v>314</v>
      </c>
      <c r="C52" s="346" t="s">
        <v>366</v>
      </c>
      <c r="D52" s="241">
        <v>1087828</v>
      </c>
      <c r="E52" s="327" t="s">
        <v>414</v>
      </c>
      <c r="F52" s="107" t="s">
        <v>64</v>
      </c>
      <c r="G52" s="159" t="s">
        <v>63</v>
      </c>
      <c r="H52" s="356">
        <v>0</v>
      </c>
      <c r="I52" s="348">
        <v>0</v>
      </c>
      <c r="J52" s="349">
        <v>0</v>
      </c>
      <c r="K52" s="348">
        <v>0</v>
      </c>
      <c r="L52" s="350">
        <v>0</v>
      </c>
      <c r="M52" s="349">
        <v>0</v>
      </c>
      <c r="N52" s="351">
        <v>0</v>
      </c>
      <c r="O52" s="347">
        <v>0</v>
      </c>
      <c r="P52" s="348">
        <v>0</v>
      </c>
      <c r="Q52" s="352">
        <v>0</v>
      </c>
      <c r="R52" s="353">
        <v>0</v>
      </c>
      <c r="S52" s="349">
        <v>0</v>
      </c>
      <c r="T52" s="354">
        <f>110101+200000+111057</f>
        <v>421158</v>
      </c>
      <c r="U52" s="354">
        <v>0</v>
      </c>
      <c r="V52" s="354">
        <v>0</v>
      </c>
      <c r="W52" s="352">
        <v>0</v>
      </c>
      <c r="X52" s="348">
        <v>0</v>
      </c>
      <c r="Y52" s="352">
        <v>0</v>
      </c>
      <c r="Z52" s="348">
        <v>0</v>
      </c>
      <c r="AA52" s="352">
        <v>0</v>
      </c>
    </row>
    <row r="53" spans="1:27" s="355" customFormat="1" x14ac:dyDescent="0.25">
      <c r="A53" s="240">
        <v>72</v>
      </c>
      <c r="B53" s="357" t="s">
        <v>324</v>
      </c>
      <c r="C53" s="104" t="s">
        <v>212</v>
      </c>
      <c r="D53" s="158">
        <v>1087512</v>
      </c>
      <c r="E53" s="228" t="s">
        <v>367</v>
      </c>
      <c r="F53" s="106" t="s">
        <v>64</v>
      </c>
      <c r="G53" s="159" t="s">
        <v>341</v>
      </c>
      <c r="H53" s="356">
        <v>0</v>
      </c>
      <c r="I53" s="348">
        <v>0</v>
      </c>
      <c r="J53" s="349">
        <v>0</v>
      </c>
      <c r="K53" s="348">
        <v>31250</v>
      </c>
      <c r="L53" s="350">
        <v>0</v>
      </c>
      <c r="M53" s="349">
        <v>0</v>
      </c>
      <c r="N53" s="358">
        <v>0</v>
      </c>
      <c r="O53" s="347">
        <v>0</v>
      </c>
      <c r="P53" s="348">
        <v>0</v>
      </c>
      <c r="Q53" s="352">
        <v>0</v>
      </c>
      <c r="R53" s="353">
        <v>0</v>
      </c>
      <c r="S53" s="349">
        <v>0</v>
      </c>
      <c r="T53" s="354">
        <v>0</v>
      </c>
      <c r="U53" s="354">
        <v>0</v>
      </c>
      <c r="V53" s="354">
        <v>0</v>
      </c>
      <c r="W53" s="352">
        <v>125000</v>
      </c>
      <c r="X53" s="348">
        <v>0</v>
      </c>
      <c r="Y53" s="352">
        <v>0</v>
      </c>
      <c r="Z53" s="348">
        <v>0</v>
      </c>
      <c r="AA53" s="352">
        <v>0</v>
      </c>
    </row>
    <row r="54" spans="1:27" s="355" customFormat="1" x14ac:dyDescent="0.25">
      <c r="A54" s="240">
        <v>72</v>
      </c>
      <c r="B54" s="357" t="s">
        <v>390</v>
      </c>
      <c r="C54" s="377" t="s">
        <v>411</v>
      </c>
      <c r="D54" s="240">
        <v>1087590</v>
      </c>
      <c r="E54" s="228" t="s">
        <v>412</v>
      </c>
      <c r="F54" s="106" t="s">
        <v>64</v>
      </c>
      <c r="G54" s="159" t="s">
        <v>50</v>
      </c>
      <c r="H54" s="356"/>
      <c r="I54" s="348"/>
      <c r="J54" s="349"/>
      <c r="K54" s="348"/>
      <c r="L54" s="350"/>
      <c r="M54" s="349"/>
      <c r="N54" s="358"/>
      <c r="O54" s="347"/>
      <c r="P54" s="348"/>
      <c r="Q54" s="352"/>
      <c r="R54" s="353"/>
      <c r="S54" s="349"/>
      <c r="T54" s="354">
        <v>794555</v>
      </c>
      <c r="U54" s="354"/>
      <c r="V54" s="354"/>
      <c r="W54" s="352"/>
      <c r="X54" s="378"/>
      <c r="Y54" s="379"/>
      <c r="Z54" s="378"/>
      <c r="AA54" s="352"/>
    </row>
    <row r="55" spans="1:27" s="290" customFormat="1" x14ac:dyDescent="0.25">
      <c r="A55" s="413">
        <v>72</v>
      </c>
      <c r="B55" s="414" t="s">
        <v>375</v>
      </c>
      <c r="C55" s="415" t="s">
        <v>302</v>
      </c>
      <c r="D55" s="413"/>
      <c r="E55" s="418" t="s">
        <v>431</v>
      </c>
      <c r="F55" s="416" t="s">
        <v>405</v>
      </c>
      <c r="G55" s="297" t="s">
        <v>384</v>
      </c>
      <c r="H55" s="344">
        <v>0</v>
      </c>
      <c r="I55" s="339">
        <v>0</v>
      </c>
      <c r="J55" s="288">
        <v>0</v>
      </c>
      <c r="K55" s="339">
        <v>0</v>
      </c>
      <c r="L55" s="340">
        <v>0</v>
      </c>
      <c r="M55" s="288">
        <v>0</v>
      </c>
      <c r="N55" s="417">
        <v>0</v>
      </c>
      <c r="O55" s="316">
        <v>0</v>
      </c>
      <c r="P55" s="339">
        <v>0</v>
      </c>
      <c r="Q55" s="341">
        <v>0</v>
      </c>
      <c r="R55" s="287">
        <v>0</v>
      </c>
      <c r="S55" s="288">
        <v>0</v>
      </c>
      <c r="T55" s="289">
        <v>0</v>
      </c>
      <c r="U55" s="289">
        <v>0</v>
      </c>
      <c r="V55" s="289">
        <v>0</v>
      </c>
      <c r="W55" s="341">
        <v>0</v>
      </c>
      <c r="X55" s="283">
        <v>0</v>
      </c>
      <c r="Y55" s="285">
        <v>0</v>
      </c>
      <c r="Z55" s="283">
        <v>410790.96</v>
      </c>
      <c r="AA55" s="341">
        <v>0</v>
      </c>
    </row>
    <row r="56" spans="1:27" s="312" customFormat="1" x14ac:dyDescent="0.25">
      <c r="A56" s="371">
        <v>72</v>
      </c>
      <c r="B56" s="372" t="s">
        <v>377</v>
      </c>
      <c r="C56" s="373" t="s">
        <v>444</v>
      </c>
      <c r="D56" s="371">
        <v>1088411</v>
      </c>
      <c r="E56" s="374" t="s">
        <v>451</v>
      </c>
      <c r="F56" s="375" t="s">
        <v>64</v>
      </c>
      <c r="G56" s="235" t="s">
        <v>384</v>
      </c>
      <c r="H56" s="359">
        <v>0</v>
      </c>
      <c r="I56" s="360">
        <v>0</v>
      </c>
      <c r="J56" s="361">
        <v>0</v>
      </c>
      <c r="K56" s="360">
        <v>0</v>
      </c>
      <c r="L56" s="362">
        <v>0</v>
      </c>
      <c r="M56" s="361">
        <v>0</v>
      </c>
      <c r="N56" s="376">
        <v>0</v>
      </c>
      <c r="O56" s="363">
        <v>0</v>
      </c>
      <c r="P56" s="360">
        <v>0</v>
      </c>
      <c r="Q56" s="364">
        <v>0</v>
      </c>
      <c r="R56" s="365">
        <v>0</v>
      </c>
      <c r="S56" s="361">
        <v>0</v>
      </c>
      <c r="T56" s="366">
        <v>0</v>
      </c>
      <c r="U56" s="366">
        <v>0</v>
      </c>
      <c r="V56" s="366">
        <v>0</v>
      </c>
      <c r="W56" s="364">
        <v>0</v>
      </c>
      <c r="X56" s="304">
        <v>0</v>
      </c>
      <c r="Y56" s="309">
        <v>0</v>
      </c>
      <c r="Z56" s="304">
        <v>190500</v>
      </c>
      <c r="AA56" s="364">
        <v>0</v>
      </c>
    </row>
    <row r="57" spans="1:27" s="312" customFormat="1" x14ac:dyDescent="0.25">
      <c r="A57" s="298">
        <v>72</v>
      </c>
      <c r="B57" s="299" t="s">
        <v>391</v>
      </c>
      <c r="C57" s="300" t="s">
        <v>445</v>
      </c>
      <c r="D57" s="298">
        <v>1088035</v>
      </c>
      <c r="E57" s="412" t="s">
        <v>447</v>
      </c>
      <c r="F57" s="301" t="s">
        <v>64</v>
      </c>
      <c r="G57" s="302" t="s">
        <v>392</v>
      </c>
      <c r="H57" s="359">
        <v>0</v>
      </c>
      <c r="I57" s="360">
        <v>0</v>
      </c>
      <c r="J57" s="361">
        <v>0</v>
      </c>
      <c r="K57" s="360">
        <v>0</v>
      </c>
      <c r="L57" s="362">
        <v>0</v>
      </c>
      <c r="M57" s="361">
        <v>0</v>
      </c>
      <c r="N57" s="307">
        <v>0</v>
      </c>
      <c r="O57" s="363">
        <v>0</v>
      </c>
      <c r="P57" s="360">
        <v>0</v>
      </c>
      <c r="Q57" s="364">
        <v>0</v>
      </c>
      <c r="R57" s="365">
        <v>0</v>
      </c>
      <c r="S57" s="361">
        <v>0</v>
      </c>
      <c r="T57" s="366">
        <v>94388</v>
      </c>
      <c r="U57" s="366">
        <v>0</v>
      </c>
      <c r="V57" s="366">
        <v>1051684</v>
      </c>
      <c r="W57" s="364"/>
      <c r="X57" s="360">
        <v>0</v>
      </c>
      <c r="Y57" s="364">
        <v>0</v>
      </c>
      <c r="Z57" s="360">
        <v>0</v>
      </c>
      <c r="AA57" s="364">
        <v>0</v>
      </c>
    </row>
    <row r="58" spans="1:27" s="290" customFormat="1" x14ac:dyDescent="0.25">
      <c r="A58" s="419">
        <v>72</v>
      </c>
      <c r="B58" s="420" t="s">
        <v>383</v>
      </c>
      <c r="C58" s="421"/>
      <c r="D58" s="419"/>
      <c r="E58" s="422" t="s">
        <v>51</v>
      </c>
      <c r="F58" s="423" t="s">
        <v>287</v>
      </c>
      <c r="G58" s="424" t="s">
        <v>404</v>
      </c>
      <c r="H58" s="425">
        <v>1127348.98</v>
      </c>
      <c r="I58" s="339">
        <v>0</v>
      </c>
      <c r="J58" s="288">
        <v>0</v>
      </c>
      <c r="K58" s="339">
        <v>0</v>
      </c>
      <c r="L58" s="340">
        <v>0</v>
      </c>
      <c r="M58" s="288">
        <v>0</v>
      </c>
      <c r="N58" s="417">
        <v>0</v>
      </c>
      <c r="O58" s="316">
        <v>0</v>
      </c>
      <c r="P58" s="339">
        <v>0</v>
      </c>
      <c r="Q58" s="341">
        <v>0</v>
      </c>
      <c r="R58" s="287">
        <v>0</v>
      </c>
      <c r="S58" s="288">
        <v>0</v>
      </c>
      <c r="T58" s="289">
        <v>0</v>
      </c>
      <c r="U58" s="289">
        <v>0</v>
      </c>
      <c r="V58" s="289">
        <v>0</v>
      </c>
      <c r="W58" s="341">
        <v>0</v>
      </c>
      <c r="X58" s="339">
        <v>0</v>
      </c>
      <c r="Y58" s="341">
        <v>0</v>
      </c>
      <c r="Z58" s="339">
        <v>0</v>
      </c>
      <c r="AA58" s="341">
        <v>0</v>
      </c>
    </row>
    <row r="59" spans="1:27" s="290" customFormat="1" x14ac:dyDescent="0.25">
      <c r="A59" s="280">
        <v>72</v>
      </c>
      <c r="B59" s="265" t="s">
        <v>434</v>
      </c>
      <c r="C59" s="296"/>
      <c r="D59" s="280" t="s">
        <v>258</v>
      </c>
      <c r="E59" s="328" t="s">
        <v>51</v>
      </c>
      <c r="F59" s="281" t="s">
        <v>287</v>
      </c>
      <c r="G59" s="282" t="s">
        <v>365</v>
      </c>
      <c r="H59" s="344">
        <v>0</v>
      </c>
      <c r="I59" s="339">
        <v>0</v>
      </c>
      <c r="J59" s="288">
        <v>0</v>
      </c>
      <c r="K59" s="339">
        <v>0</v>
      </c>
      <c r="L59" s="340">
        <v>0</v>
      </c>
      <c r="M59" s="288">
        <v>0</v>
      </c>
      <c r="N59" s="286">
        <v>0</v>
      </c>
      <c r="O59" s="316">
        <v>0</v>
      </c>
      <c r="P59" s="339">
        <v>0</v>
      </c>
      <c r="Q59" s="341">
        <v>0</v>
      </c>
      <c r="R59" s="287">
        <v>0</v>
      </c>
      <c r="S59" s="288">
        <v>0</v>
      </c>
      <c r="T59" s="289">
        <v>0</v>
      </c>
      <c r="U59" s="289">
        <v>0</v>
      </c>
      <c r="V59" s="289">
        <v>0</v>
      </c>
      <c r="W59" s="341">
        <v>250000</v>
      </c>
      <c r="X59" s="339">
        <v>0</v>
      </c>
      <c r="Y59" s="341">
        <v>0</v>
      </c>
      <c r="Z59" s="339">
        <v>0</v>
      </c>
      <c r="AA59" s="341">
        <v>0</v>
      </c>
    </row>
    <row r="60" spans="1:27" s="290" customFormat="1" x14ac:dyDescent="0.25">
      <c r="A60" s="280">
        <v>72</v>
      </c>
      <c r="B60" s="265" t="s">
        <v>435</v>
      </c>
      <c r="C60" s="296"/>
      <c r="D60" s="280" t="s">
        <v>258</v>
      </c>
      <c r="E60" s="328" t="s">
        <v>51</v>
      </c>
      <c r="F60" s="281" t="s">
        <v>287</v>
      </c>
      <c r="G60" s="282" t="s">
        <v>365</v>
      </c>
      <c r="H60" s="344">
        <v>0</v>
      </c>
      <c r="I60" s="339">
        <v>0</v>
      </c>
      <c r="J60" s="288">
        <v>0</v>
      </c>
      <c r="K60" s="339">
        <v>0</v>
      </c>
      <c r="L60" s="340">
        <v>0</v>
      </c>
      <c r="M60" s="288">
        <v>0</v>
      </c>
      <c r="N60" s="286">
        <v>0</v>
      </c>
      <c r="O60" s="316">
        <v>0</v>
      </c>
      <c r="P60" s="339">
        <v>0</v>
      </c>
      <c r="Q60" s="341">
        <v>0</v>
      </c>
      <c r="R60" s="287">
        <v>0</v>
      </c>
      <c r="S60" s="288">
        <v>0</v>
      </c>
      <c r="T60" s="289">
        <v>0</v>
      </c>
      <c r="U60" s="289">
        <v>0</v>
      </c>
      <c r="V60" s="289">
        <v>0</v>
      </c>
      <c r="W60" s="341">
        <v>250000</v>
      </c>
      <c r="X60" s="339">
        <v>0</v>
      </c>
      <c r="Y60" s="341">
        <v>0</v>
      </c>
      <c r="Z60" s="339">
        <v>0</v>
      </c>
      <c r="AA60" s="341">
        <v>0</v>
      </c>
    </row>
    <row r="61" spans="1:27" s="290" customFormat="1" x14ac:dyDescent="0.25">
      <c r="A61" s="280">
        <v>72</v>
      </c>
      <c r="B61" s="265" t="s">
        <v>318</v>
      </c>
      <c r="C61" s="296"/>
      <c r="D61" s="280"/>
      <c r="E61" s="328" t="s">
        <v>51</v>
      </c>
      <c r="F61" s="281" t="s">
        <v>287</v>
      </c>
      <c r="G61" s="282" t="s">
        <v>340</v>
      </c>
      <c r="H61" s="344">
        <v>0</v>
      </c>
      <c r="I61" s="339">
        <v>0</v>
      </c>
      <c r="J61" s="288">
        <v>0</v>
      </c>
      <c r="K61" s="339">
        <f>5000-5000</f>
        <v>0</v>
      </c>
      <c r="L61" s="340">
        <v>0</v>
      </c>
      <c r="M61" s="288">
        <v>0</v>
      </c>
      <c r="N61" s="286">
        <v>0</v>
      </c>
      <c r="O61" s="316">
        <v>0</v>
      </c>
      <c r="P61" s="339">
        <v>0</v>
      </c>
      <c r="Q61" s="341">
        <v>0</v>
      </c>
      <c r="R61" s="287">
        <v>0</v>
      </c>
      <c r="S61" s="288">
        <v>0</v>
      </c>
      <c r="T61" s="289">
        <v>0</v>
      </c>
      <c r="U61" s="289">
        <v>0</v>
      </c>
      <c r="V61" s="289">
        <v>0</v>
      </c>
      <c r="W61" s="341">
        <v>0</v>
      </c>
      <c r="X61" s="339">
        <v>0</v>
      </c>
      <c r="Y61" s="341">
        <v>0</v>
      </c>
      <c r="Z61" s="339">
        <v>0</v>
      </c>
      <c r="AA61" s="341">
        <v>0</v>
      </c>
    </row>
    <row r="62" spans="1:27" s="443" customFormat="1" x14ac:dyDescent="0.25">
      <c r="A62" s="459">
        <v>72</v>
      </c>
      <c r="B62" s="444" t="s">
        <v>291</v>
      </c>
      <c r="C62" s="469" t="s">
        <v>303</v>
      </c>
      <c r="D62" s="460">
        <v>1081754</v>
      </c>
      <c r="E62" s="429" t="s">
        <v>323</v>
      </c>
      <c r="F62" s="430" t="s">
        <v>146</v>
      </c>
      <c r="G62" s="462" t="s">
        <v>404</v>
      </c>
      <c r="H62" s="432">
        <v>0</v>
      </c>
      <c r="I62" s="433">
        <v>0</v>
      </c>
      <c r="J62" s="434">
        <v>0</v>
      </c>
      <c r="K62" s="433">
        <v>0</v>
      </c>
      <c r="L62" s="435">
        <v>0</v>
      </c>
      <c r="M62" s="436">
        <v>0</v>
      </c>
      <c r="N62" s="470">
        <v>0</v>
      </c>
      <c r="O62" s="432">
        <v>0</v>
      </c>
      <c r="P62" s="438">
        <v>265522.5</v>
      </c>
      <c r="Q62" s="439"/>
      <c r="R62" s="440"/>
      <c r="S62" s="434">
        <v>0</v>
      </c>
      <c r="T62" s="441">
        <v>0</v>
      </c>
      <c r="U62" s="441">
        <v>0</v>
      </c>
      <c r="V62" s="441">
        <v>0</v>
      </c>
      <c r="W62" s="442">
        <v>0</v>
      </c>
      <c r="X62" s="447">
        <v>0</v>
      </c>
      <c r="Y62" s="455">
        <v>0</v>
      </c>
      <c r="Z62" s="438">
        <v>0</v>
      </c>
      <c r="AA62" s="439">
        <v>0</v>
      </c>
    </row>
    <row r="63" spans="1:27" s="443" customFormat="1" x14ac:dyDescent="0.25">
      <c r="A63" s="459">
        <v>72</v>
      </c>
      <c r="B63" s="444" t="s">
        <v>470</v>
      </c>
      <c r="C63" s="444" t="s">
        <v>214</v>
      </c>
      <c r="D63" s="460">
        <v>1079846</v>
      </c>
      <c r="E63" s="461" t="s">
        <v>321</v>
      </c>
      <c r="F63" s="445" t="s">
        <v>146</v>
      </c>
      <c r="G63" s="481" t="s">
        <v>52</v>
      </c>
      <c r="H63" s="432">
        <v>0</v>
      </c>
      <c r="I63" s="433">
        <v>0</v>
      </c>
      <c r="J63" s="434">
        <v>0</v>
      </c>
      <c r="K63" s="433">
        <f>36089-36089</f>
        <v>0</v>
      </c>
      <c r="L63" s="435">
        <v>0</v>
      </c>
      <c r="M63" s="436">
        <v>0</v>
      </c>
      <c r="N63" s="470">
        <v>0</v>
      </c>
      <c r="O63" s="432">
        <v>0</v>
      </c>
      <c r="P63" s="438">
        <v>0</v>
      </c>
      <c r="Q63" s="439">
        <v>0</v>
      </c>
      <c r="R63" s="440">
        <v>0</v>
      </c>
      <c r="S63" s="434">
        <v>0</v>
      </c>
      <c r="T63" s="441">
        <v>0</v>
      </c>
      <c r="U63" s="441">
        <v>0</v>
      </c>
      <c r="V63" s="441">
        <v>0</v>
      </c>
      <c r="W63" s="442">
        <v>0</v>
      </c>
      <c r="X63" s="447">
        <v>0</v>
      </c>
      <c r="Y63" s="455">
        <v>0</v>
      </c>
      <c r="Z63" s="438">
        <v>0</v>
      </c>
      <c r="AA63" s="439">
        <v>0</v>
      </c>
    </row>
    <row r="64" spans="1:27" s="458" customFormat="1" x14ac:dyDescent="0.25">
      <c r="A64" s="460">
        <v>72</v>
      </c>
      <c r="B64" s="444" t="s">
        <v>145</v>
      </c>
      <c r="C64" s="469" t="s">
        <v>258</v>
      </c>
      <c r="D64" s="460" t="s">
        <v>258</v>
      </c>
      <c r="E64" s="461" t="s">
        <v>321</v>
      </c>
      <c r="F64" s="445" t="s">
        <v>146</v>
      </c>
      <c r="G64" s="462" t="s">
        <v>63</v>
      </c>
      <c r="H64" s="432">
        <v>0</v>
      </c>
      <c r="I64" s="433">
        <v>0</v>
      </c>
      <c r="J64" s="434">
        <v>0</v>
      </c>
      <c r="K64" s="433">
        <f>53200+3940-31.69</f>
        <v>57108.31</v>
      </c>
      <c r="L64" s="478">
        <v>0</v>
      </c>
      <c r="M64" s="434">
        <v>0</v>
      </c>
      <c r="N64" s="463">
        <v>0</v>
      </c>
      <c r="O64" s="432">
        <v>0</v>
      </c>
      <c r="P64" s="433">
        <v>0</v>
      </c>
      <c r="Q64" s="442">
        <v>0</v>
      </c>
      <c r="R64" s="440">
        <v>0</v>
      </c>
      <c r="S64" s="434">
        <v>0</v>
      </c>
      <c r="T64" s="441">
        <v>0</v>
      </c>
      <c r="U64" s="441">
        <v>0</v>
      </c>
      <c r="V64" s="441">
        <v>0</v>
      </c>
      <c r="W64" s="442">
        <v>0</v>
      </c>
      <c r="X64" s="447">
        <v>0</v>
      </c>
      <c r="Y64" s="455">
        <v>0</v>
      </c>
      <c r="Z64" s="433">
        <v>0</v>
      </c>
      <c r="AA64" s="442">
        <v>0</v>
      </c>
    </row>
    <row r="65" spans="1:27" s="458" customFormat="1" x14ac:dyDescent="0.25">
      <c r="A65" s="460">
        <v>72</v>
      </c>
      <c r="B65" s="444" t="s">
        <v>387</v>
      </c>
      <c r="C65" s="469"/>
      <c r="D65" s="460"/>
      <c r="E65" s="461" t="s">
        <v>321</v>
      </c>
      <c r="F65" s="445" t="s">
        <v>146</v>
      </c>
      <c r="G65" s="462" t="s">
        <v>152</v>
      </c>
      <c r="H65" s="482"/>
      <c r="I65" s="433">
        <v>0</v>
      </c>
      <c r="J65" s="434">
        <v>0</v>
      </c>
      <c r="K65" s="433"/>
      <c r="L65" s="478">
        <v>0</v>
      </c>
      <c r="M65" s="434">
        <v>0</v>
      </c>
      <c r="N65" s="463">
        <v>1082391.9099999999</v>
      </c>
      <c r="O65" s="432">
        <v>0</v>
      </c>
      <c r="P65" s="433">
        <v>144003.04</v>
      </c>
      <c r="Q65" s="442">
        <v>0</v>
      </c>
      <c r="R65" s="440">
        <v>0</v>
      </c>
      <c r="S65" s="434">
        <v>0</v>
      </c>
      <c r="T65" s="441">
        <v>0</v>
      </c>
      <c r="U65" s="441">
        <v>0</v>
      </c>
      <c r="V65" s="441">
        <v>0</v>
      </c>
      <c r="W65" s="442">
        <v>0</v>
      </c>
      <c r="X65" s="433">
        <v>0</v>
      </c>
      <c r="Y65" s="442">
        <v>0</v>
      </c>
      <c r="Z65" s="433">
        <v>0</v>
      </c>
      <c r="AA65" s="442">
        <v>0</v>
      </c>
    </row>
    <row r="66" spans="1:27" s="458" customFormat="1" x14ac:dyDescent="0.25">
      <c r="A66" s="460">
        <v>72</v>
      </c>
      <c r="B66" s="444" t="s">
        <v>378</v>
      </c>
      <c r="C66" s="469"/>
      <c r="D66" s="460"/>
      <c r="E66" s="461" t="s">
        <v>321</v>
      </c>
      <c r="F66" s="445" t="s">
        <v>146</v>
      </c>
      <c r="G66" s="462" t="s">
        <v>384</v>
      </c>
      <c r="H66" s="482">
        <v>0</v>
      </c>
      <c r="I66" s="433">
        <v>0</v>
      </c>
      <c r="J66" s="434">
        <v>0</v>
      </c>
      <c r="K66" s="433">
        <v>0</v>
      </c>
      <c r="L66" s="478">
        <v>0</v>
      </c>
      <c r="M66" s="434">
        <v>0</v>
      </c>
      <c r="N66" s="463">
        <v>0</v>
      </c>
      <c r="O66" s="432">
        <v>0</v>
      </c>
      <c r="P66" s="433">
        <v>0</v>
      </c>
      <c r="Q66" s="442">
        <v>0</v>
      </c>
      <c r="R66" s="440">
        <v>0</v>
      </c>
      <c r="S66" s="434">
        <v>0</v>
      </c>
      <c r="T66" s="441">
        <v>0</v>
      </c>
      <c r="U66" s="441">
        <v>0</v>
      </c>
      <c r="V66" s="441">
        <v>0</v>
      </c>
      <c r="W66" s="442">
        <v>0</v>
      </c>
      <c r="X66" s="447">
        <v>0</v>
      </c>
      <c r="Y66" s="455">
        <v>0</v>
      </c>
      <c r="Z66" s="447">
        <v>43000</v>
      </c>
      <c r="AA66" s="442">
        <v>0</v>
      </c>
    </row>
    <row r="67" spans="1:27" s="458" customFormat="1" x14ac:dyDescent="0.25">
      <c r="A67" s="460">
        <v>72</v>
      </c>
      <c r="B67" s="444" t="s">
        <v>376</v>
      </c>
      <c r="C67" s="469" t="s">
        <v>406</v>
      </c>
      <c r="D67" s="460">
        <v>1086082</v>
      </c>
      <c r="E67" s="461" t="s">
        <v>321</v>
      </c>
      <c r="F67" s="445" t="s">
        <v>146</v>
      </c>
      <c r="G67" s="462" t="s">
        <v>384</v>
      </c>
      <c r="H67" s="482">
        <v>0</v>
      </c>
      <c r="I67" s="433">
        <v>0</v>
      </c>
      <c r="J67" s="434">
        <v>0</v>
      </c>
      <c r="K67" s="433">
        <v>0</v>
      </c>
      <c r="L67" s="478">
        <v>0</v>
      </c>
      <c r="M67" s="434">
        <v>0</v>
      </c>
      <c r="N67" s="463">
        <v>0</v>
      </c>
      <c r="O67" s="432">
        <v>0</v>
      </c>
      <c r="P67" s="433">
        <v>0</v>
      </c>
      <c r="Q67" s="442">
        <v>0</v>
      </c>
      <c r="R67" s="440">
        <v>0</v>
      </c>
      <c r="S67" s="434">
        <v>0</v>
      </c>
      <c r="T67" s="441">
        <v>0</v>
      </c>
      <c r="U67" s="441">
        <v>0</v>
      </c>
      <c r="V67" s="441">
        <v>0</v>
      </c>
      <c r="W67" s="442">
        <v>0</v>
      </c>
      <c r="X67" s="447">
        <v>0</v>
      </c>
      <c r="Y67" s="455">
        <v>0</v>
      </c>
      <c r="Z67" s="447">
        <v>7000</v>
      </c>
      <c r="AA67" s="442">
        <v>0</v>
      </c>
    </row>
    <row r="68" spans="1:27" s="458" customFormat="1" x14ac:dyDescent="0.25">
      <c r="A68" s="460">
        <v>72</v>
      </c>
      <c r="B68" s="444" t="s">
        <v>295</v>
      </c>
      <c r="C68" s="469" t="s">
        <v>369</v>
      </c>
      <c r="D68" s="460">
        <v>1084912</v>
      </c>
      <c r="E68" s="461" t="s">
        <v>321</v>
      </c>
      <c r="F68" s="445" t="s">
        <v>430</v>
      </c>
      <c r="G68" s="462" t="s">
        <v>356</v>
      </c>
      <c r="H68" s="482">
        <v>0</v>
      </c>
      <c r="I68" s="433">
        <v>0</v>
      </c>
      <c r="J68" s="434">
        <v>0</v>
      </c>
      <c r="K68" s="433">
        <v>0</v>
      </c>
      <c r="L68" s="478">
        <v>0</v>
      </c>
      <c r="M68" s="434">
        <v>0</v>
      </c>
      <c r="N68" s="463">
        <v>0</v>
      </c>
      <c r="O68" s="432">
        <v>0</v>
      </c>
      <c r="P68" s="433">
        <v>0</v>
      </c>
      <c r="Q68" s="442">
        <v>0</v>
      </c>
      <c r="R68" s="440">
        <v>0</v>
      </c>
      <c r="S68" s="434">
        <v>0</v>
      </c>
      <c r="T68" s="441">
        <v>0</v>
      </c>
      <c r="U68" s="441">
        <v>0</v>
      </c>
      <c r="V68" s="441">
        <v>0</v>
      </c>
      <c r="W68" s="442">
        <v>0</v>
      </c>
      <c r="X68" s="433">
        <v>0</v>
      </c>
      <c r="Y68" s="442">
        <v>0</v>
      </c>
      <c r="Z68" s="433">
        <v>0</v>
      </c>
      <c r="AA68" s="442">
        <v>0</v>
      </c>
    </row>
    <row r="69" spans="1:27" s="458" customFormat="1" x14ac:dyDescent="0.25">
      <c r="A69" s="460">
        <v>72</v>
      </c>
      <c r="B69" s="444" t="s">
        <v>136</v>
      </c>
      <c r="C69" s="469"/>
      <c r="D69" s="460"/>
      <c r="E69" s="461" t="s">
        <v>316</v>
      </c>
      <c r="F69" s="445" t="s">
        <v>306</v>
      </c>
      <c r="G69" s="462" t="s">
        <v>307</v>
      </c>
      <c r="H69" s="432">
        <v>0</v>
      </c>
      <c r="I69" s="433">
        <v>0</v>
      </c>
      <c r="J69" s="434">
        <v>0</v>
      </c>
      <c r="K69" s="433">
        <v>0</v>
      </c>
      <c r="L69" s="478">
        <v>0</v>
      </c>
      <c r="M69" s="434">
        <v>0</v>
      </c>
      <c r="N69" s="463">
        <v>0</v>
      </c>
      <c r="O69" s="432">
        <v>0</v>
      </c>
      <c r="P69" s="433">
        <v>0</v>
      </c>
      <c r="Q69" s="442">
        <v>0</v>
      </c>
      <c r="R69" s="440">
        <v>0</v>
      </c>
      <c r="S69" s="434">
        <v>0</v>
      </c>
      <c r="T69" s="441">
        <v>0</v>
      </c>
      <c r="U69" s="441">
        <v>0</v>
      </c>
      <c r="V69" s="441">
        <v>0</v>
      </c>
      <c r="W69" s="442">
        <v>0</v>
      </c>
      <c r="X69" s="433">
        <v>0</v>
      </c>
      <c r="Y69" s="442">
        <v>0</v>
      </c>
      <c r="Z69" s="433">
        <v>0</v>
      </c>
      <c r="AA69" s="442">
        <v>0</v>
      </c>
    </row>
    <row r="70" spans="1:27" s="443" customFormat="1" x14ac:dyDescent="0.25">
      <c r="A70" s="459">
        <v>72</v>
      </c>
      <c r="B70" s="444" t="s">
        <v>9</v>
      </c>
      <c r="C70" s="469"/>
      <c r="D70" s="460"/>
      <c r="E70" s="461" t="s">
        <v>316</v>
      </c>
      <c r="F70" s="445" t="s">
        <v>306</v>
      </c>
      <c r="G70" s="481" t="s">
        <v>307</v>
      </c>
      <c r="H70" s="471">
        <v>0</v>
      </c>
      <c r="I70" s="438">
        <v>0</v>
      </c>
      <c r="J70" s="436">
        <v>0</v>
      </c>
      <c r="K70" s="438">
        <v>0</v>
      </c>
      <c r="L70" s="435">
        <v>0</v>
      </c>
      <c r="M70" s="436">
        <v>0</v>
      </c>
      <c r="N70" s="470">
        <v>0</v>
      </c>
      <c r="O70" s="432">
        <v>0</v>
      </c>
      <c r="P70" s="438">
        <v>0</v>
      </c>
      <c r="Q70" s="439">
        <v>0</v>
      </c>
      <c r="R70" s="472">
        <v>0</v>
      </c>
      <c r="S70" s="436">
        <v>0</v>
      </c>
      <c r="T70" s="473">
        <v>0</v>
      </c>
      <c r="U70" s="473">
        <v>0</v>
      </c>
      <c r="V70" s="473">
        <v>0</v>
      </c>
      <c r="W70" s="439">
        <v>0</v>
      </c>
      <c r="X70" s="438">
        <v>0</v>
      </c>
      <c r="Y70" s="439">
        <v>0</v>
      </c>
      <c r="Z70" s="438">
        <v>0</v>
      </c>
      <c r="AA70" s="439">
        <v>0</v>
      </c>
    </row>
    <row r="71" spans="1:27" s="443" customFormat="1" x14ac:dyDescent="0.25">
      <c r="A71" s="459">
        <v>72</v>
      </c>
      <c r="B71" s="444" t="s">
        <v>469</v>
      </c>
      <c r="C71" s="469"/>
      <c r="D71" s="460"/>
      <c r="E71" s="461" t="s">
        <v>316</v>
      </c>
      <c r="F71" s="445" t="s">
        <v>306</v>
      </c>
      <c r="G71" s="481" t="s">
        <v>307</v>
      </c>
      <c r="H71" s="471">
        <v>0</v>
      </c>
      <c r="I71" s="438">
        <v>0</v>
      </c>
      <c r="J71" s="436">
        <v>0</v>
      </c>
      <c r="K71" s="438">
        <v>0</v>
      </c>
      <c r="L71" s="435">
        <v>0</v>
      </c>
      <c r="M71" s="436">
        <v>0</v>
      </c>
      <c r="N71" s="470">
        <v>0</v>
      </c>
      <c r="O71" s="432">
        <v>0</v>
      </c>
      <c r="P71" s="438">
        <v>0</v>
      </c>
      <c r="Q71" s="439">
        <v>0</v>
      </c>
      <c r="R71" s="472">
        <v>0</v>
      </c>
      <c r="S71" s="436">
        <v>0</v>
      </c>
      <c r="T71" s="473">
        <v>0</v>
      </c>
      <c r="U71" s="473">
        <v>0</v>
      </c>
      <c r="V71" s="473">
        <v>0</v>
      </c>
      <c r="W71" s="439">
        <v>0</v>
      </c>
      <c r="X71" s="438">
        <v>0</v>
      </c>
      <c r="Y71" s="439">
        <v>0</v>
      </c>
      <c r="Z71" s="438">
        <v>0</v>
      </c>
      <c r="AA71" s="439">
        <v>0</v>
      </c>
    </row>
    <row r="72" spans="1:27" s="131" customFormat="1" x14ac:dyDescent="0.25">
      <c r="A72" s="158"/>
      <c r="B72" s="105"/>
      <c r="C72" s="104"/>
      <c r="D72" s="158"/>
      <c r="E72" s="228"/>
      <c r="F72" s="106"/>
      <c r="G72" s="159"/>
      <c r="H72" s="211"/>
      <c r="I72" s="34"/>
      <c r="J72" s="35"/>
      <c r="K72" s="34"/>
      <c r="L72" s="67"/>
      <c r="M72" s="35"/>
      <c r="N72" s="63"/>
      <c r="O72" s="61"/>
      <c r="P72" s="34"/>
      <c r="Q72" s="66"/>
      <c r="R72" s="136"/>
      <c r="S72" s="35"/>
      <c r="T72" s="148"/>
      <c r="U72" s="148"/>
      <c r="V72" s="148"/>
      <c r="W72" s="66"/>
      <c r="X72" s="34"/>
      <c r="Y72" s="66"/>
      <c r="Z72" s="34"/>
      <c r="AA72" s="66"/>
    </row>
    <row r="73" spans="1:27" s="1" customFormat="1" x14ac:dyDescent="0.25">
      <c r="A73" s="59"/>
      <c r="B73" s="214"/>
      <c r="C73" s="214"/>
      <c r="D73" s="216"/>
      <c r="E73" s="329"/>
      <c r="F73" s="215"/>
      <c r="G73" s="216"/>
      <c r="H73" s="82"/>
      <c r="I73" s="6"/>
      <c r="J73" s="11"/>
      <c r="K73" s="6"/>
      <c r="L73" s="20"/>
      <c r="M73" s="11"/>
      <c r="N73" s="21"/>
      <c r="O73" s="16"/>
      <c r="P73" s="6"/>
      <c r="Q73" s="27"/>
      <c r="R73" s="133"/>
      <c r="S73" s="11"/>
      <c r="T73" s="146"/>
      <c r="U73" s="146"/>
      <c r="V73" s="146"/>
      <c r="W73" s="27"/>
      <c r="X73" s="6"/>
      <c r="Y73" s="27"/>
      <c r="Z73" s="6"/>
      <c r="AA73" s="27"/>
    </row>
    <row r="74" spans="1:27" s="1" customFormat="1" x14ac:dyDescent="0.25">
      <c r="A74" s="52"/>
      <c r="B74" s="217" t="s">
        <v>40</v>
      </c>
      <c r="C74" s="217"/>
      <c r="D74" s="226"/>
      <c r="E74" s="330"/>
      <c r="F74" s="217"/>
      <c r="G74" s="217"/>
      <c r="H74" s="218">
        <f>SUM(H40:H73)</f>
        <v>5768761.4299999997</v>
      </c>
      <c r="I74" s="54">
        <f t="shared" ref="I74:N74" si="8">SUM(I42:I73)</f>
        <v>0</v>
      </c>
      <c r="J74" s="55">
        <f t="shared" si="8"/>
        <v>0</v>
      </c>
      <c r="K74" s="54">
        <f t="shared" si="8"/>
        <v>2785183.41</v>
      </c>
      <c r="L74" s="57">
        <f t="shared" si="8"/>
        <v>0</v>
      </c>
      <c r="M74" s="55">
        <f t="shared" si="8"/>
        <v>0</v>
      </c>
      <c r="N74" s="58">
        <f t="shared" si="8"/>
        <v>9000000</v>
      </c>
      <c r="O74" s="53">
        <f>SUM(O40:O73)</f>
        <v>1350000</v>
      </c>
      <c r="P74" s="54">
        <f>SUM(P42:P73)</f>
        <v>6787505.8700000001</v>
      </c>
      <c r="Q74" s="56">
        <f>SUM(Q42:Q73)</f>
        <v>0</v>
      </c>
      <c r="R74" s="140">
        <f>SUM(R42:R73)</f>
        <v>0</v>
      </c>
      <c r="S74" s="55">
        <f>SUM(S42:S73)</f>
        <v>0</v>
      </c>
      <c r="T74" s="55">
        <f>SUM(T39:T73)</f>
        <v>3810101</v>
      </c>
      <c r="U74" s="55">
        <f t="shared" ref="U74:AA74" si="9">SUM(U42:U73)</f>
        <v>2500000</v>
      </c>
      <c r="V74" s="55">
        <f t="shared" si="9"/>
        <v>1051684</v>
      </c>
      <c r="W74" s="56">
        <f t="shared" si="9"/>
        <v>2359000</v>
      </c>
      <c r="X74" s="54">
        <f t="shared" si="9"/>
        <v>0</v>
      </c>
      <c r="Y74" s="56">
        <f t="shared" si="9"/>
        <v>0</v>
      </c>
      <c r="Z74" s="54">
        <f t="shared" si="9"/>
        <v>1799478.1099999999</v>
      </c>
      <c r="AA74" s="56">
        <f t="shared" si="9"/>
        <v>0</v>
      </c>
    </row>
    <row r="75" spans="1:27" s="1" customFormat="1" x14ac:dyDescent="0.25">
      <c r="A75" s="33"/>
      <c r="B75" s="130"/>
      <c r="C75" s="130"/>
      <c r="D75" s="227"/>
      <c r="E75" s="331"/>
      <c r="F75" s="130"/>
      <c r="G75" s="130"/>
      <c r="H75" s="61"/>
      <c r="I75" s="9"/>
      <c r="J75" s="12"/>
      <c r="K75" s="9"/>
      <c r="L75" s="24"/>
      <c r="M75" s="12"/>
      <c r="N75" s="25"/>
      <c r="O75" s="18"/>
      <c r="P75" s="9"/>
      <c r="Q75" s="29"/>
      <c r="R75" s="135"/>
      <c r="S75" s="12"/>
      <c r="T75" s="147"/>
      <c r="U75" s="147"/>
      <c r="V75" s="147"/>
      <c r="W75" s="29"/>
      <c r="X75" s="9"/>
      <c r="Y75" s="29"/>
      <c r="Z75" s="9"/>
      <c r="AA75" s="29"/>
    </row>
    <row r="76" spans="1:27" s="1" customFormat="1" x14ac:dyDescent="0.25">
      <c r="A76" s="32" t="s">
        <v>19</v>
      </c>
      <c r="B76" s="219" t="s">
        <v>42</v>
      </c>
      <c r="C76" s="30" t="s">
        <v>205</v>
      </c>
      <c r="D76" s="30" t="s">
        <v>148</v>
      </c>
      <c r="E76" s="322" t="s">
        <v>315</v>
      </c>
      <c r="F76" s="219" t="s">
        <v>62</v>
      </c>
      <c r="G76" s="219" t="s">
        <v>47</v>
      </c>
      <c r="H76" s="61"/>
      <c r="I76" s="9"/>
      <c r="J76" s="12"/>
      <c r="K76" s="9"/>
      <c r="L76" s="24"/>
      <c r="M76" s="12"/>
      <c r="N76" s="25"/>
      <c r="O76" s="18"/>
      <c r="P76" s="9"/>
      <c r="Q76" s="29"/>
      <c r="R76" s="135"/>
      <c r="S76" s="12"/>
      <c r="T76" s="147"/>
      <c r="U76" s="147"/>
      <c r="V76" s="147"/>
      <c r="W76" s="29"/>
      <c r="X76" s="9"/>
      <c r="Y76" s="29"/>
      <c r="Z76" s="9"/>
      <c r="AA76" s="29"/>
    </row>
    <row r="77" spans="1:27" s="1" customFormat="1" x14ac:dyDescent="0.25">
      <c r="A77" s="32">
        <v>102</v>
      </c>
      <c r="B77" s="105" t="s">
        <v>6</v>
      </c>
      <c r="C77" s="105" t="s">
        <v>208</v>
      </c>
      <c r="D77" s="240">
        <v>1079584</v>
      </c>
      <c r="E77" s="228" t="s">
        <v>334</v>
      </c>
      <c r="F77" s="106" t="s">
        <v>64</v>
      </c>
      <c r="G77" s="159" t="s">
        <v>53</v>
      </c>
      <c r="H77" s="61">
        <v>500000</v>
      </c>
      <c r="I77" s="34">
        <v>0</v>
      </c>
      <c r="J77" s="35">
        <v>0</v>
      </c>
      <c r="K77" s="34">
        <v>0</v>
      </c>
      <c r="L77" s="24">
        <v>0</v>
      </c>
      <c r="M77" s="12">
        <v>0</v>
      </c>
      <c r="N77" s="25">
        <v>0</v>
      </c>
      <c r="O77" s="61">
        <f>300000+185000</f>
        <v>485000</v>
      </c>
      <c r="P77" s="9">
        <v>0</v>
      </c>
      <c r="Q77" s="29">
        <v>0</v>
      </c>
      <c r="R77" s="136">
        <v>0</v>
      </c>
      <c r="S77" s="35">
        <v>0</v>
      </c>
      <c r="T77" s="148">
        <v>0</v>
      </c>
      <c r="U77" s="148">
        <v>0</v>
      </c>
      <c r="V77" s="148">
        <v>0</v>
      </c>
      <c r="W77" s="66">
        <v>0</v>
      </c>
      <c r="X77" s="9">
        <v>0</v>
      </c>
      <c r="Y77" s="29">
        <v>0</v>
      </c>
      <c r="Z77" s="9">
        <v>0</v>
      </c>
      <c r="AA77" s="29">
        <v>0</v>
      </c>
    </row>
    <row r="78" spans="1:27" s="1" customFormat="1" x14ac:dyDescent="0.25">
      <c r="A78" s="32">
        <v>102</v>
      </c>
      <c r="B78" s="294" t="s">
        <v>198</v>
      </c>
      <c r="C78" s="236" t="s">
        <v>209</v>
      </c>
      <c r="D78" s="158">
        <v>1079585</v>
      </c>
      <c r="E78" s="228" t="s">
        <v>335</v>
      </c>
      <c r="F78" s="416" t="s">
        <v>472</v>
      </c>
      <c r="G78" s="88" t="s">
        <v>404</v>
      </c>
      <c r="H78" s="61">
        <f>22000-3756.55</f>
        <v>18243.45</v>
      </c>
      <c r="I78" s="34">
        <v>0</v>
      </c>
      <c r="J78" s="35">
        <v>0</v>
      </c>
      <c r="K78" s="34">
        <f>25000-438.55</f>
        <v>24561.45</v>
      </c>
      <c r="L78" s="67">
        <v>0</v>
      </c>
      <c r="M78" s="35">
        <v>0</v>
      </c>
      <c r="N78" s="63">
        <f>5000+238747+238747-25000-20126+30000</f>
        <v>467368</v>
      </c>
      <c r="O78" s="61">
        <f>24253+21253</f>
        <v>45506</v>
      </c>
      <c r="P78" s="34">
        <v>0</v>
      </c>
      <c r="Q78" s="66">
        <f>38638-35.58</f>
        <v>38602.42</v>
      </c>
      <c r="R78" s="136">
        <v>0</v>
      </c>
      <c r="S78" s="35">
        <v>0</v>
      </c>
      <c r="T78" s="148">
        <v>0</v>
      </c>
      <c r="U78" s="148">
        <v>0</v>
      </c>
      <c r="V78" s="148">
        <v>0</v>
      </c>
      <c r="W78" s="66">
        <f>235362+344000+35.58+60000+438.55+3756.55+90000</f>
        <v>733592.68</v>
      </c>
      <c r="X78" s="34">
        <v>0</v>
      </c>
      <c r="Y78" s="66">
        <f>90000-30000-60000</f>
        <v>0</v>
      </c>
      <c r="Z78" s="34">
        <v>0</v>
      </c>
      <c r="AA78" s="66">
        <f>40000+20126</f>
        <v>60126</v>
      </c>
    </row>
    <row r="79" spans="1:27" s="131" customFormat="1" x14ac:dyDescent="0.25">
      <c r="A79" s="158">
        <v>102</v>
      </c>
      <c r="B79" s="485" t="s">
        <v>298</v>
      </c>
      <c r="C79" s="104" t="s">
        <v>206</v>
      </c>
      <c r="D79" s="158">
        <v>1080435</v>
      </c>
      <c r="E79" s="228" t="s">
        <v>333</v>
      </c>
      <c r="F79" s="106" t="s">
        <v>146</v>
      </c>
      <c r="G79" s="159" t="s">
        <v>404</v>
      </c>
      <c r="H79" s="61">
        <v>1440000.08</v>
      </c>
      <c r="I79" s="34">
        <v>0</v>
      </c>
      <c r="J79" s="35">
        <v>0</v>
      </c>
      <c r="K79" s="34">
        <v>0</v>
      </c>
      <c r="L79" s="67">
        <v>0</v>
      </c>
      <c r="M79" s="35">
        <v>0</v>
      </c>
      <c r="N79" s="63">
        <v>0</v>
      </c>
      <c r="O79" s="61">
        <v>0</v>
      </c>
      <c r="P79" s="34">
        <v>0</v>
      </c>
      <c r="Q79" s="66">
        <v>0</v>
      </c>
      <c r="R79" s="136">
        <v>0</v>
      </c>
      <c r="S79" s="35">
        <v>0</v>
      </c>
      <c r="T79" s="148">
        <v>0</v>
      </c>
      <c r="U79" s="148">
        <v>0</v>
      </c>
      <c r="V79" s="148">
        <v>0</v>
      </c>
      <c r="W79" s="66">
        <v>0</v>
      </c>
      <c r="X79" s="34">
        <v>0</v>
      </c>
      <c r="Y79" s="66">
        <v>0</v>
      </c>
      <c r="Z79" s="34">
        <v>0</v>
      </c>
      <c r="AA79" s="66">
        <v>0</v>
      </c>
    </row>
    <row r="80" spans="1:27" s="131" customFormat="1" x14ac:dyDescent="0.25">
      <c r="A80" s="158">
        <v>102</v>
      </c>
      <c r="B80" s="485" t="s">
        <v>298</v>
      </c>
      <c r="C80" s="104" t="s">
        <v>206</v>
      </c>
      <c r="D80" s="158">
        <v>1083746</v>
      </c>
      <c r="E80" s="228" t="s">
        <v>333</v>
      </c>
      <c r="F80" s="106" t="s">
        <v>64</v>
      </c>
      <c r="G80" s="159" t="s">
        <v>404</v>
      </c>
      <c r="H80" s="61">
        <v>0</v>
      </c>
      <c r="I80" s="34">
        <v>0</v>
      </c>
      <c r="J80" s="35">
        <v>0</v>
      </c>
      <c r="K80" s="34">
        <v>0</v>
      </c>
      <c r="L80" s="67">
        <v>0</v>
      </c>
      <c r="M80" s="35">
        <v>0</v>
      </c>
      <c r="N80" s="63">
        <v>0</v>
      </c>
      <c r="O80" s="61">
        <v>1150000</v>
      </c>
      <c r="P80" s="34">
        <v>0</v>
      </c>
      <c r="Q80" s="66">
        <v>0</v>
      </c>
      <c r="R80" s="136">
        <v>0</v>
      </c>
      <c r="S80" s="35">
        <v>0</v>
      </c>
      <c r="T80" s="148">
        <v>0</v>
      </c>
      <c r="U80" s="148">
        <v>0</v>
      </c>
      <c r="V80" s="148">
        <v>0</v>
      </c>
      <c r="W80" s="66">
        <v>0</v>
      </c>
      <c r="X80" s="34">
        <v>0</v>
      </c>
      <c r="Y80" s="66">
        <v>0</v>
      </c>
      <c r="Z80" s="34">
        <v>0</v>
      </c>
      <c r="AA80" s="66">
        <v>0</v>
      </c>
    </row>
    <row r="81" spans="1:27" s="131" customFormat="1" x14ac:dyDescent="0.25">
      <c r="A81" s="129">
        <v>102</v>
      </c>
      <c r="B81" s="104" t="s">
        <v>155</v>
      </c>
      <c r="C81" s="104" t="s">
        <v>220</v>
      </c>
      <c r="D81" s="240">
        <v>1079588</v>
      </c>
      <c r="E81" s="228" t="s">
        <v>346</v>
      </c>
      <c r="F81" s="106" t="s">
        <v>64</v>
      </c>
      <c r="G81" s="159" t="s">
        <v>404</v>
      </c>
      <c r="H81" s="61">
        <v>0</v>
      </c>
      <c r="I81" s="34">
        <v>0</v>
      </c>
      <c r="J81" s="35">
        <v>0</v>
      </c>
      <c r="K81" s="34">
        <v>0</v>
      </c>
      <c r="L81" s="67">
        <v>0</v>
      </c>
      <c r="M81" s="35">
        <v>0</v>
      </c>
      <c r="N81" s="63">
        <v>0</v>
      </c>
      <c r="O81" s="61">
        <v>0</v>
      </c>
      <c r="P81" s="34">
        <v>0</v>
      </c>
      <c r="Q81" s="66">
        <v>80000</v>
      </c>
      <c r="R81" s="136">
        <v>0</v>
      </c>
      <c r="S81" s="35">
        <v>0</v>
      </c>
      <c r="T81" s="148">
        <v>0</v>
      </c>
      <c r="U81" s="148">
        <v>0</v>
      </c>
      <c r="V81" s="148">
        <v>0</v>
      </c>
      <c r="W81" s="66">
        <v>0</v>
      </c>
      <c r="X81" s="34">
        <v>0</v>
      </c>
      <c r="Y81" s="66">
        <v>0</v>
      </c>
      <c r="Z81" s="34">
        <v>0</v>
      </c>
      <c r="AA81" s="66">
        <v>0</v>
      </c>
    </row>
    <row r="82" spans="1:27" s="1" customFormat="1" x14ac:dyDescent="0.25">
      <c r="A82" s="158">
        <v>102</v>
      </c>
      <c r="B82" s="486" t="s">
        <v>432</v>
      </c>
      <c r="C82" s="105" t="s">
        <v>219</v>
      </c>
      <c r="D82" s="240">
        <v>1080338</v>
      </c>
      <c r="E82" s="228" t="s">
        <v>345</v>
      </c>
      <c r="F82" s="106" t="s">
        <v>64</v>
      </c>
      <c r="G82" s="159" t="s">
        <v>404</v>
      </c>
      <c r="H82" s="61">
        <v>0</v>
      </c>
      <c r="I82" s="34">
        <v>0</v>
      </c>
      <c r="J82" s="35">
        <v>0</v>
      </c>
      <c r="K82" s="34">
        <v>0</v>
      </c>
      <c r="L82" s="67">
        <v>0</v>
      </c>
      <c r="M82" s="35">
        <v>0</v>
      </c>
      <c r="N82" s="63">
        <v>0</v>
      </c>
      <c r="O82" s="61">
        <v>500000</v>
      </c>
      <c r="P82" s="34">
        <v>0</v>
      </c>
      <c r="Q82" s="66">
        <v>0</v>
      </c>
      <c r="R82" s="136">
        <v>0</v>
      </c>
      <c r="S82" s="35">
        <v>0</v>
      </c>
      <c r="T82" s="148">
        <v>0</v>
      </c>
      <c r="U82" s="148">
        <v>0</v>
      </c>
      <c r="V82" s="148">
        <v>0</v>
      </c>
      <c r="W82" s="66">
        <v>0</v>
      </c>
      <c r="X82" s="34">
        <v>0</v>
      </c>
      <c r="Y82" s="66">
        <v>0</v>
      </c>
      <c r="Z82" s="34">
        <v>0</v>
      </c>
      <c r="AA82" s="66">
        <v>0</v>
      </c>
    </row>
    <row r="83" spans="1:27" s="131" customFormat="1" x14ac:dyDescent="0.25">
      <c r="A83" s="160">
        <v>102</v>
      </c>
      <c r="B83" s="103" t="s">
        <v>311</v>
      </c>
      <c r="C83" s="103" t="s">
        <v>245</v>
      </c>
      <c r="D83" s="241">
        <v>1080782</v>
      </c>
      <c r="E83" s="327" t="s">
        <v>339</v>
      </c>
      <c r="F83" s="107" t="s">
        <v>64</v>
      </c>
      <c r="G83" s="161" t="s">
        <v>297</v>
      </c>
      <c r="H83" s="99">
        <v>0</v>
      </c>
      <c r="I83" s="100">
        <v>0</v>
      </c>
      <c r="J83" s="101">
        <v>0</v>
      </c>
      <c r="K83" s="100">
        <v>0</v>
      </c>
      <c r="L83" s="162">
        <v>0</v>
      </c>
      <c r="M83" s="101">
        <v>0</v>
      </c>
      <c r="N83" s="64">
        <v>6000</v>
      </c>
      <c r="O83" s="99">
        <v>0</v>
      </c>
      <c r="P83" s="100">
        <v>0</v>
      </c>
      <c r="Q83" s="128">
        <v>0</v>
      </c>
      <c r="R83" s="141">
        <v>0</v>
      </c>
      <c r="S83" s="101">
        <v>0</v>
      </c>
      <c r="T83" s="151">
        <v>0</v>
      </c>
      <c r="U83" s="151">
        <v>0</v>
      </c>
      <c r="V83" s="151">
        <v>0</v>
      </c>
      <c r="W83" s="128">
        <v>6000</v>
      </c>
      <c r="X83" s="100">
        <v>0</v>
      </c>
      <c r="Y83" s="128">
        <v>2500</v>
      </c>
      <c r="Z83" s="100">
        <v>0</v>
      </c>
      <c r="AA83" s="128">
        <v>0</v>
      </c>
    </row>
    <row r="84" spans="1:27" s="131" customFormat="1" x14ac:dyDescent="0.25">
      <c r="A84" s="160">
        <v>102</v>
      </c>
      <c r="B84" s="103" t="s">
        <v>421</v>
      </c>
      <c r="C84" s="103" t="s">
        <v>245</v>
      </c>
      <c r="D84" s="241">
        <v>1080782</v>
      </c>
      <c r="E84" s="327" t="s">
        <v>437</v>
      </c>
      <c r="F84" s="107" t="s">
        <v>64</v>
      </c>
      <c r="G84" s="161" t="s">
        <v>297</v>
      </c>
      <c r="H84" s="99">
        <v>0</v>
      </c>
      <c r="I84" s="100">
        <v>0</v>
      </c>
      <c r="J84" s="101">
        <v>0</v>
      </c>
      <c r="K84" s="100">
        <v>0</v>
      </c>
      <c r="L84" s="162">
        <v>0</v>
      </c>
      <c r="M84" s="101">
        <v>0</v>
      </c>
      <c r="N84" s="64">
        <v>0</v>
      </c>
      <c r="O84" s="99">
        <v>0</v>
      </c>
      <c r="P84" s="100">
        <v>0</v>
      </c>
      <c r="Q84" s="128">
        <v>0</v>
      </c>
      <c r="R84" s="141">
        <v>0</v>
      </c>
      <c r="S84" s="101">
        <v>0</v>
      </c>
      <c r="T84" s="151">
        <v>0</v>
      </c>
      <c r="U84" s="151">
        <v>0</v>
      </c>
      <c r="V84" s="151">
        <v>0</v>
      </c>
      <c r="W84" s="128">
        <v>5000</v>
      </c>
      <c r="X84" s="100">
        <v>0</v>
      </c>
      <c r="Y84" s="128">
        <v>0</v>
      </c>
      <c r="Z84" s="100">
        <v>0</v>
      </c>
      <c r="AA84" s="128">
        <v>0</v>
      </c>
    </row>
    <row r="85" spans="1:27" s="312" customFormat="1" x14ac:dyDescent="0.25">
      <c r="A85" s="298">
        <v>102</v>
      </c>
      <c r="B85" s="299" t="s">
        <v>380</v>
      </c>
      <c r="C85" s="300" t="s">
        <v>245</v>
      </c>
      <c r="D85" s="298">
        <v>1080782</v>
      </c>
      <c r="E85" s="332" t="s">
        <v>420</v>
      </c>
      <c r="F85" s="301" t="s">
        <v>64</v>
      </c>
      <c r="G85" s="302" t="s">
        <v>296</v>
      </c>
      <c r="H85" s="303">
        <v>0</v>
      </c>
      <c r="I85" s="304">
        <v>0</v>
      </c>
      <c r="J85" s="305">
        <v>0</v>
      </c>
      <c r="K85" s="304">
        <v>0</v>
      </c>
      <c r="L85" s="306">
        <v>0</v>
      </c>
      <c r="M85" s="305">
        <v>0</v>
      </c>
      <c r="N85" s="307">
        <v>20000</v>
      </c>
      <c r="O85" s="308">
        <v>0</v>
      </c>
      <c r="P85" s="304">
        <v>0</v>
      </c>
      <c r="Q85" s="309">
        <v>0</v>
      </c>
      <c r="R85" s="310">
        <v>0</v>
      </c>
      <c r="S85" s="305">
        <v>0</v>
      </c>
      <c r="T85" s="311">
        <v>0</v>
      </c>
      <c r="U85" s="311">
        <v>0</v>
      </c>
      <c r="V85" s="311">
        <v>0</v>
      </c>
      <c r="W85" s="309">
        <v>50000</v>
      </c>
      <c r="X85" s="304">
        <v>0</v>
      </c>
      <c r="Y85" s="309">
        <v>0</v>
      </c>
      <c r="Z85" s="304">
        <v>0</v>
      </c>
      <c r="AA85" s="309">
        <v>0</v>
      </c>
    </row>
    <row r="86" spans="1:27" s="131" customFormat="1" x14ac:dyDescent="0.25">
      <c r="A86" s="160">
        <v>102</v>
      </c>
      <c r="B86" s="103" t="s">
        <v>425</v>
      </c>
      <c r="C86" s="103" t="s">
        <v>255</v>
      </c>
      <c r="D86" s="160">
        <v>1081485</v>
      </c>
      <c r="E86" s="342" t="s">
        <v>329</v>
      </c>
      <c r="F86" s="107" t="s">
        <v>64</v>
      </c>
      <c r="G86" s="161" t="s">
        <v>48</v>
      </c>
      <c r="H86" s="99">
        <v>0</v>
      </c>
      <c r="I86" s="100">
        <v>0</v>
      </c>
      <c r="J86" s="101">
        <v>0</v>
      </c>
      <c r="K86" s="100">
        <v>0</v>
      </c>
      <c r="L86" s="162">
        <v>0</v>
      </c>
      <c r="M86" s="101">
        <v>0</v>
      </c>
      <c r="N86" s="64">
        <f>3990000-2163242.33</f>
        <v>1826757.67</v>
      </c>
      <c r="O86" s="99">
        <v>0</v>
      </c>
      <c r="P86" s="100">
        <v>0</v>
      </c>
      <c r="Q86" s="128">
        <v>0</v>
      </c>
      <c r="R86" s="141">
        <v>0</v>
      </c>
      <c r="S86" s="101">
        <v>0</v>
      </c>
      <c r="T86" s="151">
        <f>7980000-3990000</f>
        <v>3990000</v>
      </c>
      <c r="U86" s="151">
        <v>0</v>
      </c>
      <c r="V86" s="151">
        <v>0</v>
      </c>
      <c r="W86" s="128">
        <v>0</v>
      </c>
      <c r="X86" s="100">
        <v>0</v>
      </c>
      <c r="Y86" s="128">
        <v>0</v>
      </c>
      <c r="Z86" s="100">
        <v>0</v>
      </c>
      <c r="AA86" s="128">
        <v>0</v>
      </c>
    </row>
    <row r="87" spans="1:27" s="131" customFormat="1" x14ac:dyDescent="0.25">
      <c r="A87" s="158">
        <v>102</v>
      </c>
      <c r="B87" s="105" t="s">
        <v>424</v>
      </c>
      <c r="C87" s="104" t="s">
        <v>281</v>
      </c>
      <c r="D87" s="158">
        <v>1077478</v>
      </c>
      <c r="E87" s="228" t="s">
        <v>423</v>
      </c>
      <c r="F87" s="106" t="s">
        <v>64</v>
      </c>
      <c r="G87" s="159" t="s">
        <v>356</v>
      </c>
      <c r="H87" s="61">
        <v>0</v>
      </c>
      <c r="I87" s="34">
        <v>0</v>
      </c>
      <c r="J87" s="35">
        <v>0</v>
      </c>
      <c r="K87" s="34">
        <v>0</v>
      </c>
      <c r="L87" s="67">
        <v>0</v>
      </c>
      <c r="M87" s="35">
        <v>0</v>
      </c>
      <c r="N87" s="63">
        <v>0</v>
      </c>
      <c r="O87" s="61">
        <v>0</v>
      </c>
      <c r="P87" s="34">
        <v>0</v>
      </c>
      <c r="Q87" s="66">
        <v>0</v>
      </c>
      <c r="R87" s="136">
        <v>0</v>
      </c>
      <c r="S87" s="35">
        <v>0</v>
      </c>
      <c r="T87" s="148">
        <v>0</v>
      </c>
      <c r="U87" s="148">
        <v>0</v>
      </c>
      <c r="V87" s="148">
        <v>0</v>
      </c>
      <c r="W87" s="66">
        <f>55000+100000</f>
        <v>155000</v>
      </c>
      <c r="X87" s="34">
        <v>0</v>
      </c>
      <c r="Y87" s="66">
        <v>0</v>
      </c>
      <c r="Z87" s="34">
        <v>0</v>
      </c>
      <c r="AA87" s="66">
        <v>0</v>
      </c>
    </row>
    <row r="88" spans="1:27" s="131" customFormat="1" x14ac:dyDescent="0.25">
      <c r="A88" s="160">
        <v>102</v>
      </c>
      <c r="B88" s="103" t="s">
        <v>389</v>
      </c>
      <c r="C88" s="103" t="s">
        <v>280</v>
      </c>
      <c r="D88" s="160">
        <v>1071931</v>
      </c>
      <c r="E88" s="327" t="s">
        <v>348</v>
      </c>
      <c r="F88" s="107" t="s">
        <v>64</v>
      </c>
      <c r="G88" s="161" t="s">
        <v>52</v>
      </c>
      <c r="H88" s="99">
        <v>0</v>
      </c>
      <c r="I88" s="100">
        <v>0</v>
      </c>
      <c r="J88" s="101">
        <v>0</v>
      </c>
      <c r="K88" s="100">
        <v>0</v>
      </c>
      <c r="L88" s="162">
        <v>0</v>
      </c>
      <c r="M88" s="101">
        <v>0</v>
      </c>
      <c r="N88" s="64">
        <v>0</v>
      </c>
      <c r="O88" s="99">
        <v>0</v>
      </c>
      <c r="P88" s="100">
        <v>0</v>
      </c>
      <c r="Q88" s="128">
        <v>0</v>
      </c>
      <c r="R88" s="136">
        <v>0</v>
      </c>
      <c r="S88" s="35">
        <v>0</v>
      </c>
      <c r="T88" s="148">
        <v>0</v>
      </c>
      <c r="U88" s="148">
        <v>0</v>
      </c>
      <c r="V88" s="148">
        <v>0</v>
      </c>
      <c r="W88" s="128">
        <v>20000</v>
      </c>
      <c r="X88" s="100">
        <v>0</v>
      </c>
      <c r="Y88" s="128">
        <v>0</v>
      </c>
      <c r="Z88" s="100">
        <v>0</v>
      </c>
      <c r="AA88" s="128">
        <v>0</v>
      </c>
    </row>
    <row r="89" spans="1:27" s="131" customFormat="1" x14ac:dyDescent="0.25">
      <c r="A89" s="160">
        <v>102</v>
      </c>
      <c r="B89" s="103" t="s">
        <v>408</v>
      </c>
      <c r="C89" s="103" t="s">
        <v>212</v>
      </c>
      <c r="D89" s="160">
        <v>1083784</v>
      </c>
      <c r="E89" s="342" t="s">
        <v>336</v>
      </c>
      <c r="F89" s="107" t="s">
        <v>64</v>
      </c>
      <c r="G89" s="161" t="s">
        <v>368</v>
      </c>
      <c r="H89" s="99">
        <v>0</v>
      </c>
      <c r="I89" s="100">
        <v>0</v>
      </c>
      <c r="J89" s="101">
        <v>0</v>
      </c>
      <c r="K89" s="100">
        <v>0</v>
      </c>
      <c r="L89" s="162">
        <v>0</v>
      </c>
      <c r="M89" s="101">
        <v>0</v>
      </c>
      <c r="N89" s="64">
        <v>1500000</v>
      </c>
      <c r="O89" s="99">
        <v>0</v>
      </c>
      <c r="P89" s="100">
        <v>0</v>
      </c>
      <c r="Q89" s="128">
        <v>0</v>
      </c>
      <c r="R89" s="136">
        <v>0</v>
      </c>
      <c r="S89" s="35">
        <v>0</v>
      </c>
      <c r="T89" s="148">
        <v>0</v>
      </c>
      <c r="U89" s="148">
        <v>0</v>
      </c>
      <c r="V89" s="148">
        <v>0</v>
      </c>
      <c r="W89" s="128">
        <v>1000000</v>
      </c>
      <c r="X89" s="100">
        <v>0</v>
      </c>
      <c r="Y89" s="128">
        <v>0</v>
      </c>
      <c r="Z89" s="100">
        <v>0</v>
      </c>
      <c r="AA89" s="128">
        <v>0</v>
      </c>
    </row>
    <row r="90" spans="1:27" s="131" customFormat="1" x14ac:dyDescent="0.25">
      <c r="A90" s="160">
        <v>102</v>
      </c>
      <c r="B90" s="103" t="s">
        <v>285</v>
      </c>
      <c r="C90" s="212" t="s">
        <v>286</v>
      </c>
      <c r="D90" s="160">
        <v>1084124</v>
      </c>
      <c r="E90" s="327" t="s">
        <v>337</v>
      </c>
      <c r="F90" s="107" t="s">
        <v>64</v>
      </c>
      <c r="G90" s="161" t="s">
        <v>63</v>
      </c>
      <c r="H90" s="275">
        <v>0</v>
      </c>
      <c r="I90" s="100">
        <v>0</v>
      </c>
      <c r="J90" s="101">
        <v>0</v>
      </c>
      <c r="K90" s="100">
        <v>0</v>
      </c>
      <c r="L90" s="162">
        <v>0</v>
      </c>
      <c r="M90" s="101">
        <v>0</v>
      </c>
      <c r="N90" s="64">
        <v>0</v>
      </c>
      <c r="O90" s="99">
        <v>0</v>
      </c>
      <c r="P90" s="100">
        <v>0</v>
      </c>
      <c r="Q90" s="128">
        <v>0</v>
      </c>
      <c r="R90" s="141">
        <v>0</v>
      </c>
      <c r="S90" s="101">
        <v>0</v>
      </c>
      <c r="T90" s="151">
        <v>0</v>
      </c>
      <c r="U90" s="151">
        <v>0</v>
      </c>
      <c r="V90" s="151">
        <v>0</v>
      </c>
      <c r="W90" s="128">
        <f>300000+515400</f>
        <v>815400</v>
      </c>
      <c r="X90" s="100">
        <v>0</v>
      </c>
      <c r="Y90" s="128">
        <v>0</v>
      </c>
      <c r="Z90" s="100">
        <v>0</v>
      </c>
      <c r="AA90" s="128">
        <v>0</v>
      </c>
    </row>
    <row r="91" spans="1:27" s="131" customFormat="1" x14ac:dyDescent="0.25">
      <c r="A91" s="160">
        <v>102</v>
      </c>
      <c r="B91" s="103" t="s">
        <v>349</v>
      </c>
      <c r="C91" s="212" t="s">
        <v>292</v>
      </c>
      <c r="D91" s="160">
        <v>1084827</v>
      </c>
      <c r="E91" s="327" t="s">
        <v>319</v>
      </c>
      <c r="F91" s="107" t="s">
        <v>64</v>
      </c>
      <c r="G91" s="161" t="s">
        <v>144</v>
      </c>
      <c r="H91" s="275">
        <v>0</v>
      </c>
      <c r="I91" s="100">
        <v>0</v>
      </c>
      <c r="J91" s="101">
        <v>0</v>
      </c>
      <c r="K91" s="100">
        <v>0</v>
      </c>
      <c r="L91" s="162">
        <v>0</v>
      </c>
      <c r="M91" s="101">
        <v>0</v>
      </c>
      <c r="N91" s="64">
        <v>0</v>
      </c>
      <c r="O91" s="99">
        <v>0</v>
      </c>
      <c r="P91" s="100">
        <v>0</v>
      </c>
      <c r="Q91" s="128">
        <v>0</v>
      </c>
      <c r="R91" s="141">
        <v>0</v>
      </c>
      <c r="S91" s="101">
        <v>0</v>
      </c>
      <c r="T91" s="151">
        <f>56395.08+112790.16+28197.76</f>
        <v>197383</v>
      </c>
      <c r="U91" s="151">
        <v>0</v>
      </c>
      <c r="V91" s="151">
        <v>0</v>
      </c>
      <c r="W91" s="128">
        <v>0</v>
      </c>
      <c r="X91" s="100">
        <v>0</v>
      </c>
      <c r="Y91" s="128">
        <v>0</v>
      </c>
      <c r="Z91" s="100">
        <v>0</v>
      </c>
      <c r="AA91" s="128">
        <v>0</v>
      </c>
    </row>
    <row r="92" spans="1:27" s="312" customFormat="1" x14ac:dyDescent="0.25">
      <c r="A92" s="298">
        <v>102</v>
      </c>
      <c r="B92" s="299" t="s">
        <v>293</v>
      </c>
      <c r="C92" s="300" t="s">
        <v>347</v>
      </c>
      <c r="D92" s="298">
        <v>1085721</v>
      </c>
      <c r="E92" s="332" t="s">
        <v>320</v>
      </c>
      <c r="F92" s="301" t="s">
        <v>64</v>
      </c>
      <c r="G92" s="302" t="s">
        <v>342</v>
      </c>
      <c r="H92" s="303">
        <v>0</v>
      </c>
      <c r="I92" s="304">
        <v>0</v>
      </c>
      <c r="J92" s="305">
        <v>0</v>
      </c>
      <c r="K92" s="304">
        <v>0</v>
      </c>
      <c r="L92" s="306">
        <v>0</v>
      </c>
      <c r="M92" s="305">
        <v>0</v>
      </c>
      <c r="N92" s="307">
        <v>0</v>
      </c>
      <c r="O92" s="308">
        <v>0</v>
      </c>
      <c r="P92" s="304">
        <v>0</v>
      </c>
      <c r="Q92" s="309">
        <v>0</v>
      </c>
      <c r="R92" s="310">
        <v>0</v>
      </c>
      <c r="S92" s="305">
        <v>0</v>
      </c>
      <c r="T92" s="311">
        <v>0</v>
      </c>
      <c r="U92" s="311">
        <v>0</v>
      </c>
      <c r="V92" s="311">
        <v>1000000</v>
      </c>
      <c r="W92" s="309">
        <v>0</v>
      </c>
      <c r="X92" s="304">
        <v>0</v>
      </c>
      <c r="Y92" s="309">
        <v>0</v>
      </c>
      <c r="Z92" s="304">
        <v>0</v>
      </c>
      <c r="AA92" s="309">
        <v>0</v>
      </c>
    </row>
    <row r="93" spans="1:27" s="355" customFormat="1" x14ac:dyDescent="0.25">
      <c r="A93" s="241">
        <v>102</v>
      </c>
      <c r="B93" s="345" t="s">
        <v>326</v>
      </c>
      <c r="C93" s="346" t="s">
        <v>366</v>
      </c>
      <c r="D93" s="241">
        <v>1087828</v>
      </c>
      <c r="E93" s="327" t="s">
        <v>414</v>
      </c>
      <c r="F93" s="107" t="s">
        <v>64</v>
      </c>
      <c r="G93" s="159" t="s">
        <v>63</v>
      </c>
      <c r="H93" s="347">
        <v>0</v>
      </c>
      <c r="I93" s="348">
        <v>0</v>
      </c>
      <c r="J93" s="349">
        <v>0</v>
      </c>
      <c r="K93" s="348">
        <v>0</v>
      </c>
      <c r="L93" s="350">
        <v>0</v>
      </c>
      <c r="M93" s="349">
        <v>0</v>
      </c>
      <c r="N93" s="351">
        <v>0</v>
      </c>
      <c r="O93" s="347">
        <v>0</v>
      </c>
      <c r="P93" s="348">
        <v>0</v>
      </c>
      <c r="Q93" s="352">
        <v>0</v>
      </c>
      <c r="R93" s="353">
        <v>0</v>
      </c>
      <c r="S93" s="349">
        <v>0</v>
      </c>
      <c r="T93" s="354">
        <f>400000-310101</f>
        <v>89899</v>
      </c>
      <c r="U93" s="354">
        <v>0</v>
      </c>
      <c r="V93" s="354">
        <v>0</v>
      </c>
      <c r="W93" s="352">
        <f>312943+624000</f>
        <v>936943</v>
      </c>
      <c r="X93" s="348">
        <v>0</v>
      </c>
      <c r="Y93" s="352">
        <v>0</v>
      </c>
      <c r="Z93" s="348">
        <v>0</v>
      </c>
      <c r="AA93" s="352">
        <v>0</v>
      </c>
    </row>
    <row r="94" spans="1:27" s="355" customFormat="1" x14ac:dyDescent="0.25">
      <c r="A94" s="240">
        <v>102</v>
      </c>
      <c r="B94" s="357" t="s">
        <v>362</v>
      </c>
      <c r="C94" s="104" t="s">
        <v>212</v>
      </c>
      <c r="D94" s="158">
        <v>1087512</v>
      </c>
      <c r="E94" s="228" t="s">
        <v>367</v>
      </c>
      <c r="F94" s="106" t="s">
        <v>64</v>
      </c>
      <c r="G94" s="159" t="s">
        <v>341</v>
      </c>
      <c r="H94" s="356">
        <v>0</v>
      </c>
      <c r="I94" s="348">
        <v>0</v>
      </c>
      <c r="J94" s="349">
        <v>0</v>
      </c>
      <c r="K94" s="348">
        <v>0</v>
      </c>
      <c r="L94" s="350">
        <v>0</v>
      </c>
      <c r="M94" s="349">
        <v>0</v>
      </c>
      <c r="N94" s="358">
        <v>93750</v>
      </c>
      <c r="O94" s="347">
        <v>0</v>
      </c>
      <c r="P94" s="348">
        <v>0</v>
      </c>
      <c r="Q94" s="352">
        <v>0</v>
      </c>
      <c r="R94" s="353">
        <v>0</v>
      </c>
      <c r="S94" s="349">
        <v>0</v>
      </c>
      <c r="T94" s="354">
        <v>0</v>
      </c>
      <c r="U94" s="354">
        <v>0</v>
      </c>
      <c r="V94" s="354">
        <v>0</v>
      </c>
      <c r="W94" s="352">
        <v>0</v>
      </c>
      <c r="X94" s="348">
        <v>0</v>
      </c>
      <c r="Y94" s="352">
        <v>0</v>
      </c>
      <c r="Z94" s="348">
        <v>0</v>
      </c>
      <c r="AA94" s="352">
        <v>0</v>
      </c>
    </row>
    <row r="95" spans="1:27" s="312" customFormat="1" x14ac:dyDescent="0.25">
      <c r="A95" s="298">
        <v>102</v>
      </c>
      <c r="B95" s="299" t="s">
        <v>371</v>
      </c>
      <c r="C95" s="300" t="s">
        <v>419</v>
      </c>
      <c r="D95" s="298">
        <v>1086587</v>
      </c>
      <c r="E95" s="332" t="s">
        <v>415</v>
      </c>
      <c r="F95" s="301" t="s">
        <v>64</v>
      </c>
      <c r="G95" s="302" t="s">
        <v>63</v>
      </c>
      <c r="H95" s="303">
        <v>0</v>
      </c>
      <c r="I95" s="304">
        <v>0</v>
      </c>
      <c r="J95" s="305">
        <v>0</v>
      </c>
      <c r="K95" s="304">
        <v>0</v>
      </c>
      <c r="L95" s="306">
        <v>0</v>
      </c>
      <c r="M95" s="305">
        <v>0</v>
      </c>
      <c r="N95" s="307">
        <v>0</v>
      </c>
      <c r="O95" s="308">
        <v>0</v>
      </c>
      <c r="P95" s="304">
        <v>0</v>
      </c>
      <c r="Q95" s="309">
        <v>0</v>
      </c>
      <c r="R95" s="310">
        <v>0</v>
      </c>
      <c r="S95" s="305">
        <v>0</v>
      </c>
      <c r="T95" s="311">
        <v>500000</v>
      </c>
      <c r="U95" s="311"/>
      <c r="V95" s="311"/>
      <c r="W95" s="309"/>
      <c r="X95" s="304"/>
      <c r="Y95" s="309"/>
      <c r="Z95" s="304"/>
      <c r="AA95" s="309"/>
    </row>
    <row r="96" spans="1:27" s="312" customFormat="1" x14ac:dyDescent="0.25">
      <c r="A96" s="298">
        <v>102</v>
      </c>
      <c r="B96" s="299" t="s">
        <v>418</v>
      </c>
      <c r="C96" s="300" t="s">
        <v>417</v>
      </c>
      <c r="D96" s="298">
        <v>1087827</v>
      </c>
      <c r="E96" s="332" t="s">
        <v>416</v>
      </c>
      <c r="F96" s="301" t="s">
        <v>64</v>
      </c>
      <c r="G96" s="302" t="s">
        <v>63</v>
      </c>
      <c r="H96" s="303">
        <v>0</v>
      </c>
      <c r="I96" s="304">
        <v>0</v>
      </c>
      <c r="J96" s="305">
        <v>0</v>
      </c>
      <c r="K96" s="304">
        <v>0</v>
      </c>
      <c r="L96" s="306">
        <v>0</v>
      </c>
      <c r="M96" s="305">
        <v>0</v>
      </c>
      <c r="N96" s="307">
        <v>0</v>
      </c>
      <c r="O96" s="308">
        <v>0</v>
      </c>
      <c r="P96" s="304">
        <v>0</v>
      </c>
      <c r="Q96" s="309">
        <v>0</v>
      </c>
      <c r="R96" s="365">
        <v>0</v>
      </c>
      <c r="S96" s="361">
        <v>0</v>
      </c>
      <c r="T96" s="366">
        <v>795214</v>
      </c>
      <c r="U96" s="366">
        <v>0</v>
      </c>
      <c r="V96" s="366">
        <v>0</v>
      </c>
      <c r="W96" s="309">
        <v>140786</v>
      </c>
      <c r="X96" s="304">
        <v>0</v>
      </c>
      <c r="Y96" s="309">
        <v>0</v>
      </c>
      <c r="Z96" s="304">
        <v>0</v>
      </c>
      <c r="AA96" s="309">
        <v>0</v>
      </c>
    </row>
    <row r="97" spans="1:27" s="312" customFormat="1" x14ac:dyDescent="0.25">
      <c r="A97" s="298">
        <v>102</v>
      </c>
      <c r="B97" s="299" t="s">
        <v>351</v>
      </c>
      <c r="C97" s="300" t="s">
        <v>445</v>
      </c>
      <c r="D97" s="298">
        <v>1088035</v>
      </c>
      <c r="E97" s="412" t="s">
        <v>447</v>
      </c>
      <c r="F97" s="301" t="s">
        <v>64</v>
      </c>
      <c r="G97" s="302" t="s">
        <v>352</v>
      </c>
      <c r="H97" s="303">
        <v>0</v>
      </c>
      <c r="I97" s="304">
        <v>0</v>
      </c>
      <c r="J97" s="305">
        <v>0</v>
      </c>
      <c r="K97" s="304">
        <v>0</v>
      </c>
      <c r="L97" s="306">
        <v>0</v>
      </c>
      <c r="M97" s="305">
        <v>0</v>
      </c>
      <c r="N97" s="307">
        <v>0</v>
      </c>
      <c r="O97" s="308">
        <v>0</v>
      </c>
      <c r="P97" s="304">
        <v>0</v>
      </c>
      <c r="Q97" s="309">
        <v>0</v>
      </c>
      <c r="R97" s="310">
        <v>0</v>
      </c>
      <c r="S97" s="305">
        <v>0</v>
      </c>
      <c r="T97" s="311">
        <f>3200000-200000+400000+453928</f>
        <v>3853928</v>
      </c>
      <c r="U97" s="311">
        <v>0</v>
      </c>
      <c r="V97" s="311">
        <v>0</v>
      </c>
      <c r="W97" s="309">
        <v>0</v>
      </c>
      <c r="X97" s="304">
        <v>0</v>
      </c>
      <c r="Y97" s="309">
        <v>0</v>
      </c>
      <c r="Z97" s="304">
        <v>0</v>
      </c>
      <c r="AA97" s="309">
        <v>0</v>
      </c>
    </row>
    <row r="98" spans="1:27" s="312" customFormat="1" x14ac:dyDescent="0.25">
      <c r="A98" s="298">
        <v>102</v>
      </c>
      <c r="B98" s="299" t="s">
        <v>409</v>
      </c>
      <c r="C98" s="300" t="s">
        <v>446</v>
      </c>
      <c r="D98" s="298">
        <v>1088034</v>
      </c>
      <c r="E98" s="332" t="s">
        <v>448</v>
      </c>
      <c r="F98" s="301" t="s">
        <v>64</v>
      </c>
      <c r="G98" s="235" t="s">
        <v>365</v>
      </c>
      <c r="H98" s="363">
        <v>0</v>
      </c>
      <c r="I98" s="360">
        <v>0</v>
      </c>
      <c r="J98" s="361">
        <v>0</v>
      </c>
      <c r="K98" s="360">
        <v>0</v>
      </c>
      <c r="L98" s="362">
        <v>0</v>
      </c>
      <c r="M98" s="361">
        <v>0</v>
      </c>
      <c r="N98" s="307">
        <v>0</v>
      </c>
      <c r="O98" s="363">
        <v>0</v>
      </c>
      <c r="P98" s="360">
        <v>0</v>
      </c>
      <c r="Q98" s="364">
        <v>0</v>
      </c>
      <c r="R98" s="365">
        <v>0</v>
      </c>
      <c r="S98" s="361">
        <v>0</v>
      </c>
      <c r="T98" s="366">
        <f>4800000-V98</f>
        <v>3346072</v>
      </c>
      <c r="U98" s="366">
        <v>0</v>
      </c>
      <c r="V98" s="366">
        <f>1448316+5612</f>
        <v>1453928</v>
      </c>
      <c r="W98" s="364">
        <v>0</v>
      </c>
      <c r="X98" s="360">
        <v>0</v>
      </c>
      <c r="Y98" s="364">
        <v>0</v>
      </c>
      <c r="Z98" s="360">
        <v>0</v>
      </c>
      <c r="AA98" s="364">
        <v>0</v>
      </c>
    </row>
    <row r="99" spans="1:27" s="312" customFormat="1" x14ac:dyDescent="0.25">
      <c r="A99" s="298">
        <v>102</v>
      </c>
      <c r="B99" s="299" t="s">
        <v>312</v>
      </c>
      <c r="C99" s="300" t="s">
        <v>394</v>
      </c>
      <c r="D99" s="298">
        <v>1087599</v>
      </c>
      <c r="E99" s="332" t="s">
        <v>449</v>
      </c>
      <c r="F99" s="301" t="s">
        <v>64</v>
      </c>
      <c r="G99" s="235" t="s">
        <v>393</v>
      </c>
      <c r="H99" s="363">
        <v>0</v>
      </c>
      <c r="I99" s="360">
        <v>0</v>
      </c>
      <c r="J99" s="361">
        <v>0</v>
      </c>
      <c r="K99" s="360">
        <v>0</v>
      </c>
      <c r="L99" s="362">
        <v>0</v>
      </c>
      <c r="M99" s="361">
        <v>0</v>
      </c>
      <c r="N99" s="307">
        <v>0</v>
      </c>
      <c r="O99" s="363">
        <v>0</v>
      </c>
      <c r="P99" s="360">
        <v>0</v>
      </c>
      <c r="Q99" s="364">
        <v>0</v>
      </c>
      <c r="R99" s="365">
        <v>0</v>
      </c>
      <c r="S99" s="361">
        <v>0</v>
      </c>
      <c r="T99" s="366">
        <v>0</v>
      </c>
      <c r="U99" s="366">
        <v>0</v>
      </c>
      <c r="V99" s="366">
        <v>0</v>
      </c>
      <c r="W99" s="364">
        <f>618008+129960</f>
        <v>747968</v>
      </c>
      <c r="X99" s="360">
        <v>0</v>
      </c>
      <c r="Y99" s="364">
        <v>0</v>
      </c>
      <c r="Z99" s="360">
        <v>0</v>
      </c>
      <c r="AA99" s="364">
        <v>0</v>
      </c>
    </row>
    <row r="100" spans="1:27" s="312" customFormat="1" x14ac:dyDescent="0.25">
      <c r="A100" s="298">
        <v>102</v>
      </c>
      <c r="B100" s="299" t="s">
        <v>432</v>
      </c>
      <c r="C100" s="300" t="s">
        <v>219</v>
      </c>
      <c r="D100" s="298">
        <v>1080338</v>
      </c>
      <c r="E100" s="332" t="s">
        <v>453</v>
      </c>
      <c r="F100" s="301" t="s">
        <v>64</v>
      </c>
      <c r="G100" s="235" t="s">
        <v>393</v>
      </c>
      <c r="H100" s="363">
        <v>0</v>
      </c>
      <c r="I100" s="360">
        <v>0</v>
      </c>
      <c r="J100" s="361">
        <v>0</v>
      </c>
      <c r="K100" s="360">
        <v>0</v>
      </c>
      <c r="L100" s="362">
        <v>0</v>
      </c>
      <c r="M100" s="361">
        <v>0</v>
      </c>
      <c r="N100" s="307">
        <v>0</v>
      </c>
      <c r="O100" s="363">
        <v>0</v>
      </c>
      <c r="P100" s="360">
        <v>0</v>
      </c>
      <c r="Q100" s="364">
        <v>0</v>
      </c>
      <c r="R100" s="365">
        <v>0</v>
      </c>
      <c r="S100" s="361">
        <v>0</v>
      </c>
      <c r="T100" s="366">
        <v>0</v>
      </c>
      <c r="U100" s="366">
        <v>500000</v>
      </c>
      <c r="V100" s="366">
        <v>0</v>
      </c>
      <c r="W100" s="364">
        <v>0</v>
      </c>
      <c r="X100" s="360">
        <v>0</v>
      </c>
      <c r="Y100" s="364">
        <v>0</v>
      </c>
      <c r="Z100" s="360">
        <v>0</v>
      </c>
      <c r="AA100" s="364">
        <v>0</v>
      </c>
    </row>
    <row r="101" spans="1:27" s="312" customFormat="1" x14ac:dyDescent="0.25">
      <c r="A101" s="298">
        <v>102</v>
      </c>
      <c r="B101" s="299" t="s">
        <v>410</v>
      </c>
      <c r="C101" s="300" t="s">
        <v>452</v>
      </c>
      <c r="D101" s="298">
        <v>1088098</v>
      </c>
      <c r="E101" s="332" t="s">
        <v>450</v>
      </c>
      <c r="F101" s="301" t="s">
        <v>64</v>
      </c>
      <c r="G101" s="302" t="s">
        <v>356</v>
      </c>
      <c r="H101" s="303">
        <v>0</v>
      </c>
      <c r="I101" s="304">
        <v>0</v>
      </c>
      <c r="J101" s="305">
        <v>0</v>
      </c>
      <c r="K101" s="304">
        <v>0</v>
      </c>
      <c r="L101" s="306">
        <v>0</v>
      </c>
      <c r="M101" s="305">
        <v>0</v>
      </c>
      <c r="N101" s="307">
        <v>0</v>
      </c>
      <c r="O101" s="308">
        <v>0</v>
      </c>
      <c r="P101" s="304">
        <v>0</v>
      </c>
      <c r="Q101" s="309">
        <v>0</v>
      </c>
      <c r="R101" s="310">
        <v>0</v>
      </c>
      <c r="S101" s="305">
        <v>0</v>
      </c>
      <c r="T101" s="311">
        <v>495000</v>
      </c>
      <c r="U101" s="311">
        <v>0</v>
      </c>
      <c r="V101" s="311">
        <v>0</v>
      </c>
      <c r="W101" s="309">
        <v>0</v>
      </c>
      <c r="X101" s="304"/>
      <c r="Y101" s="309"/>
      <c r="Z101" s="304"/>
      <c r="AA101" s="309"/>
    </row>
    <row r="102" spans="1:27" s="290" customFormat="1" x14ac:dyDescent="0.25">
      <c r="A102" s="280">
        <v>102</v>
      </c>
      <c r="B102" s="265" t="s">
        <v>410</v>
      </c>
      <c r="C102" s="296" t="s">
        <v>422</v>
      </c>
      <c r="D102" s="280"/>
      <c r="E102" s="328" t="s">
        <v>431</v>
      </c>
      <c r="F102" s="281" t="s">
        <v>471</v>
      </c>
      <c r="G102" s="282" t="s">
        <v>356</v>
      </c>
      <c r="H102" s="411">
        <v>0</v>
      </c>
      <c r="I102" s="283">
        <v>0</v>
      </c>
      <c r="J102" s="284">
        <v>0</v>
      </c>
      <c r="K102" s="283">
        <v>0</v>
      </c>
      <c r="L102" s="406">
        <v>0</v>
      </c>
      <c r="M102" s="284">
        <v>0</v>
      </c>
      <c r="N102" s="286">
        <v>0</v>
      </c>
      <c r="O102" s="405">
        <v>0</v>
      </c>
      <c r="P102" s="283">
        <v>0</v>
      </c>
      <c r="Q102" s="285">
        <v>0</v>
      </c>
      <c r="R102" s="368">
        <v>0</v>
      </c>
      <c r="S102" s="284">
        <v>0</v>
      </c>
      <c r="T102" s="369">
        <v>0</v>
      </c>
      <c r="U102" s="369">
        <v>0</v>
      </c>
      <c r="V102" s="369">
        <v>0</v>
      </c>
      <c r="W102" s="285">
        <v>50000</v>
      </c>
      <c r="X102" s="283">
        <v>0</v>
      </c>
      <c r="Y102" s="285">
        <v>0</v>
      </c>
      <c r="Z102" s="283">
        <v>0</v>
      </c>
      <c r="AA102" s="285">
        <v>0</v>
      </c>
    </row>
    <row r="103" spans="1:27" s="312" customFormat="1" x14ac:dyDescent="0.25">
      <c r="A103" s="407">
        <v>102</v>
      </c>
      <c r="B103" s="373" t="s">
        <v>379</v>
      </c>
      <c r="C103" s="373" t="s">
        <v>454</v>
      </c>
      <c r="D103" s="371">
        <v>1079588</v>
      </c>
      <c r="E103" s="374" t="s">
        <v>344</v>
      </c>
      <c r="F103" s="375" t="s">
        <v>64</v>
      </c>
      <c r="G103" s="235" t="s">
        <v>404</v>
      </c>
      <c r="H103" s="363">
        <v>0</v>
      </c>
      <c r="I103" s="360">
        <v>0</v>
      </c>
      <c r="J103" s="361">
        <v>0</v>
      </c>
      <c r="K103" s="360">
        <v>0</v>
      </c>
      <c r="L103" s="362">
        <v>0</v>
      </c>
      <c r="M103" s="361">
        <v>0</v>
      </c>
      <c r="N103" s="376">
        <v>0</v>
      </c>
      <c r="O103" s="363">
        <v>0</v>
      </c>
      <c r="P103" s="360">
        <v>0</v>
      </c>
      <c r="Q103" s="364">
        <v>0</v>
      </c>
      <c r="R103" s="365">
        <v>0</v>
      </c>
      <c r="S103" s="361">
        <v>0</v>
      </c>
      <c r="T103" s="366">
        <v>0</v>
      </c>
      <c r="U103" s="366">
        <v>0</v>
      </c>
      <c r="V103" s="366">
        <v>0</v>
      </c>
      <c r="W103" s="364">
        <v>0</v>
      </c>
      <c r="X103" s="360">
        <v>0</v>
      </c>
      <c r="Y103" s="364">
        <v>0</v>
      </c>
      <c r="Z103" s="360">
        <v>0</v>
      </c>
      <c r="AA103" s="364">
        <v>60000</v>
      </c>
    </row>
    <row r="104" spans="1:27" s="312" customFormat="1" x14ac:dyDescent="0.25">
      <c r="A104" s="298">
        <v>102</v>
      </c>
      <c r="B104" s="299" t="s">
        <v>427</v>
      </c>
      <c r="C104" s="300" t="s">
        <v>428</v>
      </c>
      <c r="D104" s="298">
        <v>1088412</v>
      </c>
      <c r="E104" s="332" t="s">
        <v>455</v>
      </c>
      <c r="F104" s="301" t="s">
        <v>64</v>
      </c>
      <c r="G104" s="302" t="s">
        <v>373</v>
      </c>
      <c r="H104" s="308">
        <v>0</v>
      </c>
      <c r="I104" s="304">
        <v>0</v>
      </c>
      <c r="J104" s="305">
        <v>0</v>
      </c>
      <c r="K104" s="304">
        <v>0</v>
      </c>
      <c r="L104" s="306">
        <v>0</v>
      </c>
      <c r="M104" s="305">
        <v>0</v>
      </c>
      <c r="N104" s="307">
        <v>0</v>
      </c>
      <c r="O104" s="308">
        <v>0</v>
      </c>
      <c r="P104" s="304">
        <v>0</v>
      </c>
      <c r="Q104" s="309">
        <v>0</v>
      </c>
      <c r="R104" s="310">
        <v>0</v>
      </c>
      <c r="S104" s="305">
        <v>0</v>
      </c>
      <c r="T104" s="408">
        <v>0</v>
      </c>
      <c r="U104" s="311">
        <v>0</v>
      </c>
      <c r="V104" s="311">
        <v>0</v>
      </c>
      <c r="W104" s="309">
        <v>0</v>
      </c>
      <c r="X104" s="304">
        <v>0</v>
      </c>
      <c r="Y104" s="309">
        <f>212000+39750</f>
        <v>251750</v>
      </c>
      <c r="Z104" s="304">
        <v>0</v>
      </c>
      <c r="AA104" s="309">
        <v>0</v>
      </c>
    </row>
    <row r="105" spans="1:27" s="312" customFormat="1" x14ac:dyDescent="0.25">
      <c r="A105" s="298">
        <v>102</v>
      </c>
      <c r="B105" s="299" t="s">
        <v>350</v>
      </c>
      <c r="C105" s="300" t="s">
        <v>436</v>
      </c>
      <c r="D105" s="298">
        <v>1088781</v>
      </c>
      <c r="E105" s="332" t="s">
        <v>456</v>
      </c>
      <c r="F105" s="301" t="s">
        <v>64</v>
      </c>
      <c r="G105" s="302" t="s">
        <v>352</v>
      </c>
      <c r="H105" s="303">
        <v>0</v>
      </c>
      <c r="I105" s="304">
        <v>0</v>
      </c>
      <c r="J105" s="305">
        <v>0</v>
      </c>
      <c r="K105" s="304">
        <v>0</v>
      </c>
      <c r="L105" s="306">
        <v>0</v>
      </c>
      <c r="M105" s="305">
        <v>0</v>
      </c>
      <c r="N105" s="307">
        <v>0</v>
      </c>
      <c r="O105" s="308">
        <v>0</v>
      </c>
      <c r="P105" s="304">
        <v>0</v>
      </c>
      <c r="Q105" s="309">
        <v>0</v>
      </c>
      <c r="R105" s="310">
        <v>0</v>
      </c>
      <c r="S105" s="305">
        <v>0</v>
      </c>
      <c r="T105" s="311">
        <v>450460</v>
      </c>
      <c r="U105" s="311">
        <v>0</v>
      </c>
      <c r="V105" s="311">
        <v>0</v>
      </c>
      <c r="W105" s="309">
        <v>0</v>
      </c>
      <c r="X105" s="304">
        <v>0</v>
      </c>
      <c r="Y105" s="309">
        <v>0</v>
      </c>
      <c r="Z105" s="304">
        <v>0</v>
      </c>
      <c r="AA105" s="309">
        <v>0</v>
      </c>
    </row>
    <row r="106" spans="1:27" s="290" customFormat="1" x14ac:dyDescent="0.25">
      <c r="A106" s="280">
        <v>102</v>
      </c>
      <c r="B106" s="265" t="s">
        <v>313</v>
      </c>
      <c r="C106" s="296" t="s">
        <v>440</v>
      </c>
      <c r="D106" s="280"/>
      <c r="E106" s="328" t="s">
        <v>431</v>
      </c>
      <c r="F106" s="281" t="s">
        <v>441</v>
      </c>
      <c r="G106" s="297" t="s">
        <v>365</v>
      </c>
      <c r="H106" s="316">
        <v>0</v>
      </c>
      <c r="I106" s="339">
        <v>0</v>
      </c>
      <c r="J106" s="288">
        <v>0</v>
      </c>
      <c r="K106" s="339">
        <v>0</v>
      </c>
      <c r="L106" s="340">
        <v>0</v>
      </c>
      <c r="M106" s="288">
        <v>0</v>
      </c>
      <c r="N106" s="286">
        <v>0</v>
      </c>
      <c r="O106" s="316">
        <v>0</v>
      </c>
      <c r="P106" s="339">
        <v>0</v>
      </c>
      <c r="Q106" s="341">
        <v>0</v>
      </c>
      <c r="R106" s="287">
        <v>0</v>
      </c>
      <c r="S106" s="288">
        <v>0</v>
      </c>
      <c r="T106" s="370">
        <v>0</v>
      </c>
      <c r="U106" s="289">
        <v>0</v>
      </c>
      <c r="V106" s="289">
        <v>0</v>
      </c>
      <c r="W106" s="341">
        <v>343652</v>
      </c>
      <c r="X106" s="339">
        <v>0</v>
      </c>
      <c r="Y106" s="341">
        <v>0</v>
      </c>
      <c r="Z106" s="339">
        <v>0</v>
      </c>
      <c r="AA106" s="341">
        <v>0</v>
      </c>
    </row>
    <row r="107" spans="1:27" s="290" customFormat="1" x14ac:dyDescent="0.25">
      <c r="A107" s="280">
        <v>102</v>
      </c>
      <c r="B107" s="265" t="s">
        <v>443</v>
      </c>
      <c r="C107" s="296" t="s">
        <v>443</v>
      </c>
      <c r="D107" s="280"/>
      <c r="E107" s="328" t="s">
        <v>431</v>
      </c>
      <c r="F107" s="281" t="s">
        <v>458</v>
      </c>
      <c r="G107" s="282" t="s">
        <v>63</v>
      </c>
      <c r="H107" s="405">
        <v>0</v>
      </c>
      <c r="I107" s="283">
        <v>0</v>
      </c>
      <c r="J107" s="284">
        <v>0</v>
      </c>
      <c r="K107" s="283">
        <v>0</v>
      </c>
      <c r="L107" s="406">
        <v>0</v>
      </c>
      <c r="M107" s="284">
        <v>0</v>
      </c>
      <c r="N107" s="286">
        <v>0</v>
      </c>
      <c r="O107" s="405">
        <v>0</v>
      </c>
      <c r="P107" s="283">
        <v>0</v>
      </c>
      <c r="Q107" s="285">
        <v>0</v>
      </c>
      <c r="R107" s="368">
        <v>0</v>
      </c>
      <c r="S107" s="284">
        <v>0</v>
      </c>
      <c r="T107" s="370">
        <v>0</v>
      </c>
      <c r="U107" s="369">
        <v>0</v>
      </c>
      <c r="V107" s="369">
        <v>0</v>
      </c>
      <c r="W107" s="285">
        <v>250000</v>
      </c>
      <c r="X107" s="283">
        <v>0</v>
      </c>
      <c r="Y107" s="285">
        <v>0</v>
      </c>
      <c r="Z107" s="283">
        <v>0</v>
      </c>
      <c r="AA107" s="285">
        <v>0</v>
      </c>
    </row>
    <row r="108" spans="1:27" s="290" customFormat="1" x14ac:dyDescent="0.25">
      <c r="A108" s="280">
        <v>102</v>
      </c>
      <c r="B108" s="265" t="s">
        <v>438</v>
      </c>
      <c r="C108" s="296" t="s">
        <v>464</v>
      </c>
      <c r="D108" s="280"/>
      <c r="E108" s="328" t="s">
        <v>431</v>
      </c>
      <c r="F108" s="281" t="s">
        <v>459</v>
      </c>
      <c r="G108" s="282" t="s">
        <v>356</v>
      </c>
      <c r="H108" s="405">
        <v>0</v>
      </c>
      <c r="I108" s="283">
        <v>0</v>
      </c>
      <c r="J108" s="284">
        <v>0</v>
      </c>
      <c r="K108" s="283">
        <v>0</v>
      </c>
      <c r="L108" s="406">
        <v>0</v>
      </c>
      <c r="M108" s="284">
        <v>0</v>
      </c>
      <c r="N108" s="286">
        <v>6000</v>
      </c>
      <c r="O108" s="405">
        <v>0</v>
      </c>
      <c r="P108" s="283">
        <v>0</v>
      </c>
      <c r="Q108" s="285">
        <v>0</v>
      </c>
      <c r="R108" s="368">
        <v>0</v>
      </c>
      <c r="S108" s="284">
        <v>0</v>
      </c>
      <c r="T108" s="370">
        <v>0</v>
      </c>
      <c r="U108" s="369">
        <v>0</v>
      </c>
      <c r="V108" s="369">
        <v>0</v>
      </c>
      <c r="W108" s="285">
        <v>0</v>
      </c>
      <c r="X108" s="283">
        <v>0</v>
      </c>
      <c r="Y108" s="285">
        <v>0</v>
      </c>
      <c r="Z108" s="283">
        <v>0</v>
      </c>
      <c r="AA108" s="285">
        <v>0</v>
      </c>
    </row>
    <row r="109" spans="1:27" s="312" customFormat="1" x14ac:dyDescent="0.25">
      <c r="A109" s="298">
        <v>102</v>
      </c>
      <c r="B109" s="299" t="s">
        <v>462</v>
      </c>
      <c r="C109" s="300" t="s">
        <v>461</v>
      </c>
      <c r="D109" s="280" t="s">
        <v>457</v>
      </c>
      <c r="E109" s="332" t="s">
        <v>460</v>
      </c>
      <c r="F109" s="301" t="s">
        <v>64</v>
      </c>
      <c r="G109" s="302" t="s">
        <v>429</v>
      </c>
      <c r="H109" s="308">
        <v>0</v>
      </c>
      <c r="I109" s="304">
        <v>0</v>
      </c>
      <c r="J109" s="305">
        <v>0</v>
      </c>
      <c r="K109" s="304">
        <v>0</v>
      </c>
      <c r="L109" s="306">
        <v>0</v>
      </c>
      <c r="M109" s="305">
        <v>0</v>
      </c>
      <c r="N109" s="307">
        <v>0</v>
      </c>
      <c r="O109" s="308">
        <v>0</v>
      </c>
      <c r="P109" s="304">
        <v>0</v>
      </c>
      <c r="Q109" s="309">
        <v>0</v>
      </c>
      <c r="R109" s="310">
        <v>0</v>
      </c>
      <c r="S109" s="305">
        <v>0</v>
      </c>
      <c r="T109" s="408">
        <v>0</v>
      </c>
      <c r="U109" s="311">
        <v>0</v>
      </c>
      <c r="V109" s="311">
        <v>0</v>
      </c>
      <c r="W109" s="309">
        <v>0</v>
      </c>
      <c r="X109" s="304">
        <v>0</v>
      </c>
      <c r="Y109" s="309">
        <v>25000</v>
      </c>
      <c r="Z109" s="304">
        <v>0</v>
      </c>
      <c r="AA109" s="309">
        <v>0</v>
      </c>
    </row>
    <row r="110" spans="1:27" s="312" customFormat="1" x14ac:dyDescent="0.25">
      <c r="A110" s="298">
        <v>102</v>
      </c>
      <c r="B110" s="299" t="s">
        <v>317</v>
      </c>
      <c r="C110" s="300" t="s">
        <v>370</v>
      </c>
      <c r="D110" s="298"/>
      <c r="E110" s="332" t="s">
        <v>146</v>
      </c>
      <c r="F110" s="301" t="s">
        <v>146</v>
      </c>
      <c r="G110" s="302" t="s">
        <v>340</v>
      </c>
      <c r="H110" s="359">
        <v>0</v>
      </c>
      <c r="I110" s="360">
        <v>0</v>
      </c>
      <c r="J110" s="361">
        <v>0</v>
      </c>
      <c r="K110" s="360">
        <v>10080</v>
      </c>
      <c r="L110" s="362">
        <v>0</v>
      </c>
      <c r="M110" s="361">
        <v>0</v>
      </c>
      <c r="N110" s="307">
        <v>0</v>
      </c>
      <c r="O110" s="363">
        <v>0</v>
      </c>
      <c r="P110" s="360">
        <v>0</v>
      </c>
      <c r="Q110" s="364">
        <v>0</v>
      </c>
      <c r="R110" s="365">
        <v>0</v>
      </c>
      <c r="S110" s="361">
        <v>0</v>
      </c>
      <c r="T110" s="366">
        <v>0</v>
      </c>
      <c r="U110" s="366">
        <v>0</v>
      </c>
      <c r="V110" s="366">
        <v>0</v>
      </c>
      <c r="W110" s="364">
        <v>0</v>
      </c>
      <c r="X110" s="360">
        <v>0</v>
      </c>
      <c r="Y110" s="364">
        <v>0</v>
      </c>
      <c r="Z110" s="360">
        <v>0</v>
      </c>
      <c r="AA110" s="364">
        <v>0</v>
      </c>
    </row>
    <row r="111" spans="1:27" s="290" customFormat="1" x14ac:dyDescent="0.25">
      <c r="A111" s="280">
        <v>102</v>
      </c>
      <c r="B111" s="265" t="s">
        <v>317</v>
      </c>
      <c r="C111" s="296" t="s">
        <v>370</v>
      </c>
      <c r="D111" s="280"/>
      <c r="E111" s="328" t="s">
        <v>51</v>
      </c>
      <c r="F111" s="281" t="s">
        <v>287</v>
      </c>
      <c r="G111" s="282" t="s">
        <v>340</v>
      </c>
      <c r="H111" s="344">
        <v>0</v>
      </c>
      <c r="I111" s="339">
        <v>0</v>
      </c>
      <c r="J111" s="288">
        <v>0</v>
      </c>
      <c r="K111" s="339">
        <f>15000-10080-4920</f>
        <v>0</v>
      </c>
      <c r="L111" s="340">
        <v>0</v>
      </c>
      <c r="M111" s="288">
        <v>0</v>
      </c>
      <c r="N111" s="286">
        <v>15000</v>
      </c>
      <c r="O111" s="316">
        <v>0</v>
      </c>
      <c r="P111" s="339">
        <v>0</v>
      </c>
      <c r="Q111" s="341">
        <v>0</v>
      </c>
      <c r="R111" s="287">
        <v>0</v>
      </c>
      <c r="S111" s="288">
        <v>0</v>
      </c>
      <c r="T111" s="289">
        <v>0</v>
      </c>
      <c r="U111" s="289">
        <v>0</v>
      </c>
      <c r="V111" s="289">
        <v>0</v>
      </c>
      <c r="W111" s="341">
        <f>5000+10000</f>
        <v>15000</v>
      </c>
      <c r="X111" s="339">
        <v>0</v>
      </c>
      <c r="Y111" s="341">
        <v>0</v>
      </c>
      <c r="Z111" s="339">
        <v>0</v>
      </c>
      <c r="AA111" s="341">
        <v>0</v>
      </c>
    </row>
    <row r="112" spans="1:27" s="131" customFormat="1" x14ac:dyDescent="0.25">
      <c r="A112" s="280">
        <v>102</v>
      </c>
      <c r="B112" s="265" t="s">
        <v>385</v>
      </c>
      <c r="C112" s="296"/>
      <c r="D112" s="280"/>
      <c r="E112" s="328" t="s">
        <v>51</v>
      </c>
      <c r="F112" s="281" t="s">
        <v>287</v>
      </c>
      <c r="G112" s="297" t="s">
        <v>287</v>
      </c>
      <c r="H112" s="61">
        <v>0</v>
      </c>
      <c r="I112" s="34">
        <v>0</v>
      </c>
      <c r="J112" s="35">
        <v>0</v>
      </c>
      <c r="K112" s="34">
        <v>0</v>
      </c>
      <c r="L112" s="67">
        <v>0</v>
      </c>
      <c r="M112" s="35">
        <v>0</v>
      </c>
      <c r="N112" s="64">
        <v>0</v>
      </c>
      <c r="O112" s="61">
        <v>0</v>
      </c>
      <c r="P112" s="34">
        <v>0</v>
      </c>
      <c r="Q112" s="66">
        <v>0</v>
      </c>
      <c r="R112" s="287">
        <v>0</v>
      </c>
      <c r="S112" s="288">
        <v>0</v>
      </c>
      <c r="T112" s="289">
        <v>0</v>
      </c>
      <c r="U112" s="289">
        <f>500000+5612</f>
        <v>505612</v>
      </c>
      <c r="V112" s="289">
        <v>0</v>
      </c>
      <c r="W112" s="341">
        <v>0</v>
      </c>
      <c r="X112" s="34">
        <v>0</v>
      </c>
      <c r="Y112" s="66">
        <v>0</v>
      </c>
      <c r="Z112" s="34">
        <v>0</v>
      </c>
      <c r="AA112" s="66">
        <v>0</v>
      </c>
    </row>
    <row r="113" spans="1:27" s="131" customFormat="1" x14ac:dyDescent="0.25">
      <c r="A113" s="280">
        <v>102</v>
      </c>
      <c r="B113" s="265" t="s">
        <v>360</v>
      </c>
      <c r="C113" s="296" t="s">
        <v>361</v>
      </c>
      <c r="D113" s="280"/>
      <c r="E113" s="328" t="s">
        <v>51</v>
      </c>
      <c r="F113" s="281" t="s">
        <v>287</v>
      </c>
      <c r="G113" s="297" t="s">
        <v>63</v>
      </c>
      <c r="H113" s="61">
        <v>0</v>
      </c>
      <c r="I113" s="34">
        <v>0</v>
      </c>
      <c r="J113" s="35">
        <v>0</v>
      </c>
      <c r="K113" s="34">
        <v>0</v>
      </c>
      <c r="L113" s="67">
        <v>0</v>
      </c>
      <c r="M113" s="35">
        <v>0</v>
      </c>
      <c r="N113" s="64">
        <v>0</v>
      </c>
      <c r="O113" s="61">
        <v>0</v>
      </c>
      <c r="P113" s="34">
        <v>0</v>
      </c>
      <c r="Q113" s="66">
        <v>0</v>
      </c>
      <c r="R113" s="287">
        <v>0</v>
      </c>
      <c r="S113" s="288">
        <v>0</v>
      </c>
      <c r="T113" s="289">
        <v>0</v>
      </c>
      <c r="U113" s="289">
        <v>0</v>
      </c>
      <c r="V113" s="289">
        <v>0</v>
      </c>
      <c r="W113" s="341">
        <v>200000</v>
      </c>
      <c r="X113" s="34">
        <v>0</v>
      </c>
      <c r="Y113" s="66">
        <v>0</v>
      </c>
      <c r="Z113" s="34">
        <v>0</v>
      </c>
      <c r="AA113" s="66">
        <v>0</v>
      </c>
    </row>
    <row r="114" spans="1:27" s="290" customFormat="1" x14ac:dyDescent="0.25">
      <c r="A114" s="280">
        <v>102</v>
      </c>
      <c r="B114" s="265" t="s">
        <v>463</v>
      </c>
      <c r="C114" s="296" t="s">
        <v>465</v>
      </c>
      <c r="D114" s="280"/>
      <c r="E114" s="328" t="s">
        <v>51</v>
      </c>
      <c r="F114" s="281" t="s">
        <v>287</v>
      </c>
      <c r="G114" s="282" t="s">
        <v>429</v>
      </c>
      <c r="H114" s="405">
        <v>0</v>
      </c>
      <c r="I114" s="283">
        <v>0</v>
      </c>
      <c r="J114" s="284">
        <v>0</v>
      </c>
      <c r="K114" s="283">
        <v>0</v>
      </c>
      <c r="L114" s="406">
        <v>0</v>
      </c>
      <c r="M114" s="284">
        <v>0</v>
      </c>
      <c r="N114" s="286">
        <v>0</v>
      </c>
      <c r="O114" s="405">
        <v>0</v>
      </c>
      <c r="P114" s="283">
        <v>0</v>
      </c>
      <c r="Q114" s="285">
        <v>0</v>
      </c>
      <c r="R114" s="368">
        <v>0</v>
      </c>
      <c r="S114" s="284">
        <v>0</v>
      </c>
      <c r="T114" s="370">
        <v>0</v>
      </c>
      <c r="U114" s="369">
        <v>0</v>
      </c>
      <c r="V114" s="369">
        <v>0</v>
      </c>
      <c r="W114" s="285">
        <v>0</v>
      </c>
      <c r="X114" s="283">
        <v>0</v>
      </c>
      <c r="Y114" s="285">
        <f>76500+76500</f>
        <v>153000</v>
      </c>
      <c r="Z114" s="283">
        <v>0</v>
      </c>
      <c r="AA114" s="285">
        <v>0</v>
      </c>
    </row>
    <row r="115" spans="1:27" s="290" customFormat="1" x14ac:dyDescent="0.25">
      <c r="A115" s="280">
        <v>102</v>
      </c>
      <c r="B115" s="265" t="s">
        <v>372</v>
      </c>
      <c r="C115" s="296"/>
      <c r="D115" s="280"/>
      <c r="E115" s="328" t="s">
        <v>51</v>
      </c>
      <c r="F115" s="281" t="s">
        <v>287</v>
      </c>
      <c r="G115" s="282" t="s">
        <v>429</v>
      </c>
      <c r="H115" s="405">
        <v>0</v>
      </c>
      <c r="I115" s="283">
        <v>0</v>
      </c>
      <c r="J115" s="284">
        <v>0</v>
      </c>
      <c r="K115" s="283">
        <v>0</v>
      </c>
      <c r="L115" s="406">
        <v>0</v>
      </c>
      <c r="M115" s="284">
        <v>0</v>
      </c>
      <c r="N115" s="286">
        <v>0</v>
      </c>
      <c r="O115" s="405">
        <v>0</v>
      </c>
      <c r="P115" s="283">
        <v>0</v>
      </c>
      <c r="Q115" s="285">
        <v>0</v>
      </c>
      <c r="R115" s="368">
        <v>0</v>
      </c>
      <c r="S115" s="284">
        <v>0</v>
      </c>
      <c r="T115" s="370">
        <v>0</v>
      </c>
      <c r="U115" s="369">
        <v>0</v>
      </c>
      <c r="V115" s="369">
        <v>0</v>
      </c>
      <c r="W115" s="285">
        <v>0</v>
      </c>
      <c r="X115" s="283">
        <v>0</v>
      </c>
      <c r="Y115" s="285">
        <f>383188-212000-39750+60000-25000-153000</f>
        <v>13438</v>
      </c>
      <c r="Z115" s="283">
        <v>0</v>
      </c>
      <c r="AA115" s="285">
        <v>0</v>
      </c>
    </row>
    <row r="116" spans="1:27" s="458" customFormat="1" x14ac:dyDescent="0.25">
      <c r="A116" s="428">
        <v>102</v>
      </c>
      <c r="B116" s="427" t="s">
        <v>202</v>
      </c>
      <c r="C116" s="427" t="s">
        <v>245</v>
      </c>
      <c r="D116" s="428">
        <v>1080782</v>
      </c>
      <c r="E116" s="429" t="s">
        <v>338</v>
      </c>
      <c r="F116" s="430" t="s">
        <v>64</v>
      </c>
      <c r="G116" s="456" t="s">
        <v>297</v>
      </c>
      <c r="H116" s="446">
        <v>0</v>
      </c>
      <c r="I116" s="447">
        <v>0</v>
      </c>
      <c r="J116" s="448">
        <v>0</v>
      </c>
      <c r="K116" s="447">
        <v>0</v>
      </c>
      <c r="L116" s="457">
        <v>0</v>
      </c>
      <c r="M116" s="448">
        <v>0</v>
      </c>
      <c r="N116" s="437">
        <f>6000+251.98-2600</f>
        <v>3651.9799999999996</v>
      </c>
      <c r="O116" s="446">
        <v>0</v>
      </c>
      <c r="P116" s="447">
        <v>0</v>
      </c>
      <c r="Q116" s="455">
        <v>0</v>
      </c>
      <c r="R116" s="453">
        <v>0</v>
      </c>
      <c r="S116" s="448">
        <v>0</v>
      </c>
      <c r="T116" s="454">
        <v>0</v>
      </c>
      <c r="U116" s="454">
        <v>0</v>
      </c>
      <c r="V116" s="454">
        <v>0</v>
      </c>
      <c r="W116" s="455">
        <f>6000-5493.02</f>
        <v>506.97999999999956</v>
      </c>
      <c r="X116" s="447">
        <v>0</v>
      </c>
      <c r="Y116" s="455">
        <v>0</v>
      </c>
      <c r="Z116" s="447">
        <v>0</v>
      </c>
      <c r="AA116" s="455">
        <v>0</v>
      </c>
    </row>
    <row r="117" spans="1:27" s="443" customFormat="1" x14ac:dyDescent="0.25">
      <c r="A117" s="468">
        <v>102</v>
      </c>
      <c r="B117" s="469" t="s">
        <v>65</v>
      </c>
      <c r="C117" s="469" t="s">
        <v>244</v>
      </c>
      <c r="D117" s="460">
        <v>1079581</v>
      </c>
      <c r="E117" s="477" t="s">
        <v>344</v>
      </c>
      <c r="F117" s="445" t="s">
        <v>146</v>
      </c>
      <c r="G117" s="462" t="s">
        <v>50</v>
      </c>
      <c r="H117" s="432">
        <v>0</v>
      </c>
      <c r="I117" s="438">
        <v>0</v>
      </c>
      <c r="J117" s="436">
        <v>0</v>
      </c>
      <c r="K117" s="438">
        <f>57000*1.5</f>
        <v>85500</v>
      </c>
      <c r="L117" s="435">
        <v>0</v>
      </c>
      <c r="M117" s="436">
        <v>0</v>
      </c>
      <c r="N117" s="470">
        <v>0</v>
      </c>
      <c r="O117" s="471">
        <v>0</v>
      </c>
      <c r="P117" s="438">
        <v>0</v>
      </c>
      <c r="Q117" s="439">
        <v>0</v>
      </c>
      <c r="R117" s="472">
        <v>0</v>
      </c>
      <c r="S117" s="436">
        <v>0</v>
      </c>
      <c r="T117" s="473">
        <v>0</v>
      </c>
      <c r="U117" s="473">
        <v>0</v>
      </c>
      <c r="V117" s="473">
        <v>0</v>
      </c>
      <c r="W117" s="439">
        <v>0</v>
      </c>
      <c r="X117" s="438">
        <v>0</v>
      </c>
      <c r="Y117" s="439">
        <v>0</v>
      </c>
      <c r="Z117" s="438">
        <v>0</v>
      </c>
      <c r="AA117" s="439">
        <v>0</v>
      </c>
    </row>
    <row r="118" spans="1:27" s="443" customFormat="1" x14ac:dyDescent="0.25">
      <c r="A118" s="426">
        <v>102</v>
      </c>
      <c r="B118" s="427" t="s">
        <v>5</v>
      </c>
      <c r="C118" s="427" t="s">
        <v>217</v>
      </c>
      <c r="D118" s="428">
        <v>1080350</v>
      </c>
      <c r="E118" s="429" t="s">
        <v>321</v>
      </c>
      <c r="F118" s="430" t="s">
        <v>146</v>
      </c>
      <c r="G118" s="431" t="s">
        <v>54</v>
      </c>
      <c r="H118" s="432">
        <v>0</v>
      </c>
      <c r="I118" s="433">
        <v>0</v>
      </c>
      <c r="J118" s="434">
        <v>0</v>
      </c>
      <c r="K118" s="433">
        <v>0</v>
      </c>
      <c r="L118" s="435">
        <v>0</v>
      </c>
      <c r="M118" s="436">
        <v>0</v>
      </c>
      <c r="N118" s="437">
        <f>2000000-952376.8-491963.4</f>
        <v>555659.79999999993</v>
      </c>
      <c r="O118" s="432">
        <v>0</v>
      </c>
      <c r="P118" s="438">
        <v>0</v>
      </c>
      <c r="Q118" s="439">
        <v>0</v>
      </c>
      <c r="R118" s="440">
        <v>0</v>
      </c>
      <c r="S118" s="434">
        <v>0</v>
      </c>
      <c r="T118" s="441">
        <v>0</v>
      </c>
      <c r="U118" s="441">
        <v>0</v>
      </c>
      <c r="V118" s="441">
        <v>0</v>
      </c>
      <c r="W118" s="442">
        <v>0</v>
      </c>
      <c r="X118" s="438">
        <v>0</v>
      </c>
      <c r="Y118" s="439">
        <v>0</v>
      </c>
      <c r="Z118" s="438">
        <v>0</v>
      </c>
      <c r="AA118" s="439">
        <v>0</v>
      </c>
    </row>
    <row r="119" spans="1:27" s="443" customFormat="1" x14ac:dyDescent="0.25">
      <c r="A119" s="426">
        <v>102</v>
      </c>
      <c r="B119" s="444" t="s">
        <v>215</v>
      </c>
      <c r="C119" s="444" t="s">
        <v>216</v>
      </c>
      <c r="D119" s="428">
        <v>1078589</v>
      </c>
      <c r="E119" s="429" t="s">
        <v>321</v>
      </c>
      <c r="F119" s="445" t="s">
        <v>146</v>
      </c>
      <c r="G119" s="431" t="s">
        <v>50</v>
      </c>
      <c r="H119" s="446">
        <v>0</v>
      </c>
      <c r="I119" s="447">
        <v>0</v>
      </c>
      <c r="J119" s="448">
        <v>0</v>
      </c>
      <c r="K119" s="447">
        <v>0</v>
      </c>
      <c r="L119" s="449">
        <v>0</v>
      </c>
      <c r="M119" s="450">
        <v>0</v>
      </c>
      <c r="N119" s="437">
        <f>7260-6600</f>
        <v>660</v>
      </c>
      <c r="O119" s="446">
        <v>0</v>
      </c>
      <c r="P119" s="451">
        <v>0</v>
      </c>
      <c r="Q119" s="452">
        <v>0</v>
      </c>
      <c r="R119" s="453">
        <v>0</v>
      </c>
      <c r="S119" s="448">
        <v>0</v>
      </c>
      <c r="T119" s="454">
        <v>0</v>
      </c>
      <c r="U119" s="454">
        <v>0</v>
      </c>
      <c r="V119" s="454">
        <v>0</v>
      </c>
      <c r="W119" s="455">
        <v>0</v>
      </c>
      <c r="X119" s="451">
        <v>0</v>
      </c>
      <c r="Y119" s="452">
        <v>0</v>
      </c>
      <c r="Z119" s="451">
        <v>0</v>
      </c>
      <c r="AA119" s="452">
        <v>0</v>
      </c>
    </row>
    <row r="120" spans="1:27" s="458" customFormat="1" x14ac:dyDescent="0.25">
      <c r="A120" s="428">
        <v>102</v>
      </c>
      <c r="B120" s="427" t="s">
        <v>199</v>
      </c>
      <c r="C120" s="427" t="s">
        <v>210</v>
      </c>
      <c r="D120" s="428">
        <v>1079583</v>
      </c>
      <c r="E120" s="429" t="s">
        <v>321</v>
      </c>
      <c r="F120" s="430" t="s">
        <v>146</v>
      </c>
      <c r="G120" s="456" t="s">
        <v>137</v>
      </c>
      <c r="H120" s="446">
        <v>0</v>
      </c>
      <c r="I120" s="447">
        <v>0</v>
      </c>
      <c r="J120" s="448">
        <v>0</v>
      </c>
      <c r="K120" s="447">
        <f>20500+158000-20500</f>
        <v>158000</v>
      </c>
      <c r="L120" s="457">
        <v>0</v>
      </c>
      <c r="M120" s="448">
        <v>0</v>
      </c>
      <c r="N120" s="437">
        <v>0</v>
      </c>
      <c r="O120" s="446">
        <v>0</v>
      </c>
      <c r="P120" s="447">
        <v>0</v>
      </c>
      <c r="Q120" s="455">
        <v>0</v>
      </c>
      <c r="R120" s="453">
        <v>0</v>
      </c>
      <c r="S120" s="448">
        <v>0</v>
      </c>
      <c r="T120" s="454">
        <v>0</v>
      </c>
      <c r="U120" s="454">
        <v>0</v>
      </c>
      <c r="V120" s="454">
        <v>0</v>
      </c>
      <c r="W120" s="455">
        <v>0</v>
      </c>
      <c r="X120" s="447">
        <v>0</v>
      </c>
      <c r="Y120" s="455">
        <v>0</v>
      </c>
      <c r="Z120" s="447">
        <v>0</v>
      </c>
      <c r="AA120" s="455">
        <v>0</v>
      </c>
    </row>
    <row r="121" spans="1:27" s="443" customFormat="1" x14ac:dyDescent="0.25">
      <c r="A121" s="459">
        <v>102</v>
      </c>
      <c r="B121" s="444" t="s">
        <v>466</v>
      </c>
      <c r="C121" s="444" t="s">
        <v>214</v>
      </c>
      <c r="D121" s="460">
        <v>1079846</v>
      </c>
      <c r="E121" s="461" t="s">
        <v>321</v>
      </c>
      <c r="F121" s="445" t="s">
        <v>146</v>
      </c>
      <c r="G121" s="462" t="s">
        <v>52</v>
      </c>
      <c r="H121" s="432">
        <v>0</v>
      </c>
      <c r="I121" s="433">
        <v>0</v>
      </c>
      <c r="J121" s="434">
        <v>0</v>
      </c>
      <c r="K121" s="433">
        <f>148199.74+20561.26-31061</f>
        <v>137700</v>
      </c>
      <c r="L121" s="435">
        <v>0</v>
      </c>
      <c r="M121" s="436">
        <v>0</v>
      </c>
      <c r="N121" s="463">
        <v>0</v>
      </c>
      <c r="O121" s="432">
        <v>0</v>
      </c>
      <c r="P121" s="438">
        <v>0</v>
      </c>
      <c r="Q121" s="439">
        <v>0</v>
      </c>
      <c r="R121" s="440">
        <v>0</v>
      </c>
      <c r="S121" s="434">
        <v>0</v>
      </c>
      <c r="T121" s="441">
        <v>0</v>
      </c>
      <c r="U121" s="441">
        <v>0</v>
      </c>
      <c r="V121" s="441">
        <v>0</v>
      </c>
      <c r="W121" s="442">
        <v>0</v>
      </c>
      <c r="X121" s="438">
        <v>0</v>
      </c>
      <c r="Y121" s="439">
        <v>0</v>
      </c>
      <c r="Z121" s="438">
        <v>0</v>
      </c>
      <c r="AA121" s="439">
        <v>0</v>
      </c>
    </row>
    <row r="122" spans="1:27" s="443" customFormat="1" x14ac:dyDescent="0.25">
      <c r="A122" s="426">
        <v>102</v>
      </c>
      <c r="B122" s="464" t="s">
        <v>213</v>
      </c>
      <c r="C122" s="444" t="s">
        <v>212</v>
      </c>
      <c r="D122" s="428">
        <v>1081690</v>
      </c>
      <c r="E122" s="429" t="s">
        <v>321</v>
      </c>
      <c r="F122" s="430" t="s">
        <v>146</v>
      </c>
      <c r="G122" s="431" t="s">
        <v>341</v>
      </c>
      <c r="H122" s="446">
        <v>100000</v>
      </c>
      <c r="I122" s="447">
        <v>0</v>
      </c>
      <c r="J122" s="448">
        <v>0</v>
      </c>
      <c r="K122" s="447">
        <v>0</v>
      </c>
      <c r="L122" s="449">
        <v>0</v>
      </c>
      <c r="M122" s="450">
        <v>0</v>
      </c>
      <c r="N122" s="437">
        <v>0</v>
      </c>
      <c r="O122" s="446"/>
      <c r="P122" s="451">
        <v>0</v>
      </c>
      <c r="Q122" s="452">
        <v>0</v>
      </c>
      <c r="R122" s="453">
        <v>0</v>
      </c>
      <c r="S122" s="448">
        <v>0</v>
      </c>
      <c r="T122" s="454">
        <v>0</v>
      </c>
      <c r="U122" s="454">
        <v>0</v>
      </c>
      <c r="V122" s="454">
        <v>0</v>
      </c>
      <c r="W122" s="455">
        <v>0</v>
      </c>
      <c r="X122" s="451">
        <v>0</v>
      </c>
      <c r="Y122" s="452">
        <v>0</v>
      </c>
      <c r="Z122" s="451">
        <v>0</v>
      </c>
      <c r="AA122" s="452">
        <v>0</v>
      </c>
    </row>
    <row r="123" spans="1:27" s="458" customFormat="1" x14ac:dyDescent="0.25">
      <c r="A123" s="428">
        <v>102</v>
      </c>
      <c r="B123" s="427" t="s">
        <v>388</v>
      </c>
      <c r="C123" s="465" t="s">
        <v>413</v>
      </c>
      <c r="D123" s="466"/>
      <c r="E123" s="429" t="s">
        <v>321</v>
      </c>
      <c r="F123" s="430" t="s">
        <v>146</v>
      </c>
      <c r="G123" s="456" t="s">
        <v>356</v>
      </c>
      <c r="H123" s="467">
        <v>0</v>
      </c>
      <c r="I123" s="447">
        <v>0</v>
      </c>
      <c r="J123" s="448">
        <v>0</v>
      </c>
      <c r="K123" s="447">
        <v>0</v>
      </c>
      <c r="L123" s="457">
        <v>0</v>
      </c>
      <c r="M123" s="448">
        <v>0</v>
      </c>
      <c r="N123" s="437">
        <v>0</v>
      </c>
      <c r="O123" s="446">
        <v>0</v>
      </c>
      <c r="P123" s="447">
        <v>0</v>
      </c>
      <c r="Q123" s="455">
        <v>0</v>
      </c>
      <c r="R123" s="440">
        <v>0</v>
      </c>
      <c r="S123" s="434">
        <v>0</v>
      </c>
      <c r="T123" s="441">
        <v>0</v>
      </c>
      <c r="U123" s="441">
        <v>0</v>
      </c>
      <c r="V123" s="441">
        <v>0</v>
      </c>
      <c r="W123" s="455">
        <v>4500</v>
      </c>
      <c r="X123" s="447">
        <v>0</v>
      </c>
      <c r="Y123" s="455">
        <v>0</v>
      </c>
      <c r="Z123" s="447">
        <v>0</v>
      </c>
      <c r="AA123" s="455">
        <v>0</v>
      </c>
    </row>
    <row r="124" spans="1:27" s="458" customFormat="1" x14ac:dyDescent="0.25">
      <c r="A124" s="428">
        <v>102</v>
      </c>
      <c r="B124" s="427" t="s">
        <v>278</v>
      </c>
      <c r="C124" s="465" t="s">
        <v>279</v>
      </c>
      <c r="D124" s="428" t="s">
        <v>69</v>
      </c>
      <c r="E124" s="429" t="s">
        <v>321</v>
      </c>
      <c r="F124" s="430" t="s">
        <v>146</v>
      </c>
      <c r="G124" s="456" t="s">
        <v>260</v>
      </c>
      <c r="H124" s="467">
        <v>0</v>
      </c>
      <c r="I124" s="447">
        <v>0</v>
      </c>
      <c r="J124" s="448">
        <v>0</v>
      </c>
      <c r="K124" s="447">
        <v>0</v>
      </c>
      <c r="L124" s="457">
        <v>0</v>
      </c>
      <c r="M124" s="448">
        <v>0</v>
      </c>
      <c r="N124" s="437">
        <v>0</v>
      </c>
      <c r="O124" s="446">
        <v>0</v>
      </c>
      <c r="P124" s="447">
        <v>0</v>
      </c>
      <c r="Q124" s="455">
        <v>0</v>
      </c>
      <c r="R124" s="453">
        <v>0</v>
      </c>
      <c r="S124" s="448">
        <v>0</v>
      </c>
      <c r="T124" s="454">
        <v>0</v>
      </c>
      <c r="U124" s="454">
        <v>0</v>
      </c>
      <c r="V124" s="454">
        <v>0</v>
      </c>
      <c r="W124" s="455">
        <v>2000</v>
      </c>
      <c r="X124" s="447">
        <v>0</v>
      </c>
      <c r="Y124" s="455">
        <v>0</v>
      </c>
      <c r="Z124" s="447">
        <v>0</v>
      </c>
      <c r="AA124" s="455">
        <v>0</v>
      </c>
    </row>
    <row r="125" spans="1:27" s="443" customFormat="1" x14ac:dyDescent="0.25">
      <c r="A125" s="468">
        <v>102</v>
      </c>
      <c r="B125" s="469" t="s">
        <v>28</v>
      </c>
      <c r="C125" s="469"/>
      <c r="D125" s="460">
        <v>1070811</v>
      </c>
      <c r="E125" s="461" t="s">
        <v>321</v>
      </c>
      <c r="F125" s="445" t="s">
        <v>146</v>
      </c>
      <c r="G125" s="462" t="s">
        <v>49</v>
      </c>
      <c r="H125" s="432">
        <v>0</v>
      </c>
      <c r="I125" s="438">
        <v>0</v>
      </c>
      <c r="J125" s="436">
        <v>10720</v>
      </c>
      <c r="K125" s="438">
        <v>0</v>
      </c>
      <c r="L125" s="435">
        <v>0</v>
      </c>
      <c r="M125" s="436">
        <v>0</v>
      </c>
      <c r="N125" s="470">
        <v>0</v>
      </c>
      <c r="O125" s="471">
        <v>0</v>
      </c>
      <c r="P125" s="438">
        <v>0</v>
      </c>
      <c r="Q125" s="439">
        <v>0</v>
      </c>
      <c r="R125" s="472">
        <v>0</v>
      </c>
      <c r="S125" s="436">
        <v>0</v>
      </c>
      <c r="T125" s="473">
        <v>0</v>
      </c>
      <c r="U125" s="473">
        <v>0</v>
      </c>
      <c r="V125" s="473">
        <v>0</v>
      </c>
      <c r="W125" s="439">
        <v>0</v>
      </c>
      <c r="X125" s="438">
        <v>0</v>
      </c>
      <c r="Y125" s="439">
        <v>0</v>
      </c>
      <c r="Z125" s="438">
        <v>0</v>
      </c>
      <c r="AA125" s="439">
        <v>0</v>
      </c>
    </row>
    <row r="126" spans="1:27" s="443" customFormat="1" x14ac:dyDescent="0.25">
      <c r="A126" s="474">
        <v>102</v>
      </c>
      <c r="B126" s="475" t="s">
        <v>29</v>
      </c>
      <c r="C126" s="475"/>
      <c r="D126" s="461" t="s">
        <v>69</v>
      </c>
      <c r="E126" s="461" t="s">
        <v>321</v>
      </c>
      <c r="F126" s="462" t="s">
        <v>146</v>
      </c>
      <c r="G126" s="462" t="s">
        <v>49</v>
      </c>
      <c r="H126" s="432">
        <v>0</v>
      </c>
      <c r="I126" s="438">
        <v>0</v>
      </c>
      <c r="J126" s="436">
        <v>0</v>
      </c>
      <c r="K126" s="438">
        <v>4480</v>
      </c>
      <c r="L126" s="435">
        <v>0</v>
      </c>
      <c r="M126" s="436">
        <v>0</v>
      </c>
      <c r="N126" s="470">
        <v>0</v>
      </c>
      <c r="O126" s="471">
        <v>0</v>
      </c>
      <c r="P126" s="438">
        <v>0</v>
      </c>
      <c r="Q126" s="439">
        <v>0</v>
      </c>
      <c r="R126" s="472">
        <v>0</v>
      </c>
      <c r="S126" s="436">
        <v>0</v>
      </c>
      <c r="T126" s="473">
        <v>0</v>
      </c>
      <c r="U126" s="473">
        <v>0</v>
      </c>
      <c r="V126" s="473">
        <v>0</v>
      </c>
      <c r="W126" s="476">
        <v>0</v>
      </c>
      <c r="X126" s="438">
        <v>0</v>
      </c>
      <c r="Y126" s="439">
        <v>0</v>
      </c>
      <c r="Z126" s="438">
        <v>0</v>
      </c>
      <c r="AA126" s="439">
        <v>0</v>
      </c>
    </row>
    <row r="127" spans="1:27" s="443" customFormat="1" x14ac:dyDescent="0.25">
      <c r="A127" s="426">
        <v>102</v>
      </c>
      <c r="B127" s="427" t="s">
        <v>46</v>
      </c>
      <c r="C127" s="427"/>
      <c r="D127" s="428">
        <v>1076311</v>
      </c>
      <c r="E127" s="429" t="s">
        <v>321</v>
      </c>
      <c r="F127" s="445" t="s">
        <v>146</v>
      </c>
      <c r="G127" s="431" t="s">
        <v>49</v>
      </c>
      <c r="H127" s="446">
        <v>0</v>
      </c>
      <c r="I127" s="447">
        <v>0</v>
      </c>
      <c r="J127" s="448">
        <v>0</v>
      </c>
      <c r="K127" s="447">
        <v>3060</v>
      </c>
      <c r="L127" s="449">
        <v>0</v>
      </c>
      <c r="M127" s="450">
        <v>0</v>
      </c>
      <c r="N127" s="437">
        <v>3740</v>
      </c>
      <c r="O127" s="446">
        <v>0</v>
      </c>
      <c r="P127" s="451">
        <v>0</v>
      </c>
      <c r="Q127" s="452">
        <v>0</v>
      </c>
      <c r="R127" s="453">
        <v>0</v>
      </c>
      <c r="S127" s="448">
        <v>0</v>
      </c>
      <c r="T127" s="454">
        <v>0</v>
      </c>
      <c r="U127" s="454">
        <v>0</v>
      </c>
      <c r="V127" s="454">
        <v>0</v>
      </c>
      <c r="W127" s="455">
        <v>0</v>
      </c>
      <c r="X127" s="451">
        <v>0</v>
      </c>
      <c r="Y127" s="452">
        <v>0</v>
      </c>
      <c r="Z127" s="451">
        <v>0</v>
      </c>
      <c r="AA127" s="452">
        <v>0</v>
      </c>
    </row>
    <row r="128" spans="1:27" s="443" customFormat="1" x14ac:dyDescent="0.25">
      <c r="A128" s="459">
        <v>102</v>
      </c>
      <c r="B128" s="444" t="s">
        <v>203</v>
      </c>
      <c r="C128" s="444" t="s">
        <v>204</v>
      </c>
      <c r="D128" s="460">
        <v>1078688</v>
      </c>
      <c r="E128" s="477" t="s">
        <v>321</v>
      </c>
      <c r="F128" s="445" t="s">
        <v>146</v>
      </c>
      <c r="G128" s="462" t="s">
        <v>63</v>
      </c>
      <c r="H128" s="432">
        <v>37000</v>
      </c>
      <c r="I128" s="433">
        <v>0</v>
      </c>
      <c r="J128" s="434">
        <v>0</v>
      </c>
      <c r="K128" s="433">
        <v>0</v>
      </c>
      <c r="L128" s="435">
        <v>0</v>
      </c>
      <c r="M128" s="436">
        <v>0</v>
      </c>
      <c r="N128" s="470">
        <v>0</v>
      </c>
      <c r="O128" s="432">
        <v>0</v>
      </c>
      <c r="P128" s="438">
        <v>0</v>
      </c>
      <c r="Q128" s="439">
        <v>0</v>
      </c>
      <c r="R128" s="440">
        <v>0</v>
      </c>
      <c r="S128" s="434">
        <v>0</v>
      </c>
      <c r="T128" s="441">
        <v>0</v>
      </c>
      <c r="U128" s="441">
        <v>0</v>
      </c>
      <c r="V128" s="441">
        <v>0</v>
      </c>
      <c r="W128" s="442">
        <v>0</v>
      </c>
      <c r="X128" s="438">
        <v>0</v>
      </c>
      <c r="Y128" s="439">
        <v>0</v>
      </c>
      <c r="Z128" s="438">
        <v>0</v>
      </c>
      <c r="AA128" s="439">
        <v>0</v>
      </c>
    </row>
    <row r="129" spans="1:27" s="443" customFormat="1" x14ac:dyDescent="0.25">
      <c r="A129" s="468">
        <v>102</v>
      </c>
      <c r="B129" s="469" t="s">
        <v>26</v>
      </c>
      <c r="C129" s="469"/>
      <c r="D129" s="460">
        <v>1075136</v>
      </c>
      <c r="E129" s="461" t="s">
        <v>321</v>
      </c>
      <c r="F129" s="445" t="s">
        <v>146</v>
      </c>
      <c r="G129" s="462" t="s">
        <v>63</v>
      </c>
      <c r="H129" s="432">
        <v>0</v>
      </c>
      <c r="I129" s="438">
        <v>0</v>
      </c>
      <c r="J129" s="436">
        <v>0</v>
      </c>
      <c r="K129" s="438">
        <f>5000-2900</f>
        <v>2100</v>
      </c>
      <c r="L129" s="435">
        <v>0</v>
      </c>
      <c r="M129" s="436">
        <v>0</v>
      </c>
      <c r="N129" s="470">
        <v>0</v>
      </c>
      <c r="O129" s="471">
        <v>0</v>
      </c>
      <c r="P129" s="438">
        <v>0</v>
      </c>
      <c r="Q129" s="439">
        <v>0</v>
      </c>
      <c r="R129" s="472">
        <v>0</v>
      </c>
      <c r="S129" s="436">
        <v>0</v>
      </c>
      <c r="T129" s="473">
        <v>0</v>
      </c>
      <c r="U129" s="473">
        <v>0</v>
      </c>
      <c r="V129" s="473">
        <v>0</v>
      </c>
      <c r="W129" s="439">
        <v>0</v>
      </c>
      <c r="X129" s="438">
        <v>0</v>
      </c>
      <c r="Y129" s="439">
        <v>0</v>
      </c>
      <c r="Z129" s="438">
        <v>0</v>
      </c>
      <c r="AA129" s="439">
        <v>0</v>
      </c>
    </row>
    <row r="130" spans="1:27" s="443" customFormat="1" x14ac:dyDescent="0.25">
      <c r="A130" s="468">
        <v>102</v>
      </c>
      <c r="B130" s="469" t="s">
        <v>27</v>
      </c>
      <c r="C130" s="469"/>
      <c r="D130" s="460">
        <v>1075141</v>
      </c>
      <c r="E130" s="461" t="s">
        <v>321</v>
      </c>
      <c r="F130" s="445" t="s">
        <v>146</v>
      </c>
      <c r="G130" s="462" t="s">
        <v>63</v>
      </c>
      <c r="H130" s="432">
        <v>0</v>
      </c>
      <c r="I130" s="438">
        <v>0</v>
      </c>
      <c r="J130" s="436">
        <v>0</v>
      </c>
      <c r="K130" s="438">
        <v>5000</v>
      </c>
      <c r="L130" s="435">
        <v>0</v>
      </c>
      <c r="M130" s="436">
        <v>0</v>
      </c>
      <c r="N130" s="470">
        <v>0</v>
      </c>
      <c r="O130" s="471">
        <v>0</v>
      </c>
      <c r="P130" s="438">
        <v>0</v>
      </c>
      <c r="Q130" s="439">
        <v>0</v>
      </c>
      <c r="R130" s="472">
        <v>0</v>
      </c>
      <c r="S130" s="436">
        <v>0</v>
      </c>
      <c r="T130" s="473">
        <v>0</v>
      </c>
      <c r="U130" s="473">
        <v>0</v>
      </c>
      <c r="V130" s="473">
        <v>0</v>
      </c>
      <c r="W130" s="439">
        <v>0</v>
      </c>
      <c r="X130" s="438">
        <v>0</v>
      </c>
      <c r="Y130" s="439">
        <v>0</v>
      </c>
      <c r="Z130" s="438">
        <v>0</v>
      </c>
      <c r="AA130" s="439">
        <v>0</v>
      </c>
    </row>
    <row r="131" spans="1:27" s="443" customFormat="1" x14ac:dyDescent="0.25">
      <c r="A131" s="468">
        <v>102</v>
      </c>
      <c r="B131" s="469" t="s">
        <v>27</v>
      </c>
      <c r="C131" s="469"/>
      <c r="D131" s="460">
        <v>1077482</v>
      </c>
      <c r="E131" s="461" t="s">
        <v>321</v>
      </c>
      <c r="F131" s="445" t="s">
        <v>146</v>
      </c>
      <c r="G131" s="462" t="s">
        <v>63</v>
      </c>
      <c r="H131" s="432">
        <v>0</v>
      </c>
      <c r="I131" s="438">
        <v>0</v>
      </c>
      <c r="J131" s="436">
        <v>0</v>
      </c>
      <c r="K131" s="438">
        <f>4000-1040</f>
        <v>2960</v>
      </c>
      <c r="L131" s="435">
        <v>0</v>
      </c>
      <c r="M131" s="436">
        <v>0</v>
      </c>
      <c r="N131" s="470">
        <v>0</v>
      </c>
      <c r="O131" s="471">
        <v>0</v>
      </c>
      <c r="P131" s="438">
        <v>0</v>
      </c>
      <c r="Q131" s="439">
        <v>0</v>
      </c>
      <c r="R131" s="472">
        <v>0</v>
      </c>
      <c r="S131" s="436">
        <v>0</v>
      </c>
      <c r="T131" s="473">
        <v>0</v>
      </c>
      <c r="U131" s="473">
        <v>0</v>
      </c>
      <c r="V131" s="473">
        <v>0</v>
      </c>
      <c r="W131" s="439">
        <v>0</v>
      </c>
      <c r="X131" s="438">
        <v>0</v>
      </c>
      <c r="Y131" s="439">
        <v>0</v>
      </c>
      <c r="Z131" s="438">
        <v>0</v>
      </c>
      <c r="AA131" s="439">
        <v>0</v>
      </c>
    </row>
    <row r="132" spans="1:27" s="458" customFormat="1" x14ac:dyDescent="0.25">
      <c r="A132" s="428">
        <v>102</v>
      </c>
      <c r="B132" s="427" t="s">
        <v>201</v>
      </c>
      <c r="C132" s="427" t="s">
        <v>245</v>
      </c>
      <c r="D132" s="428">
        <v>1076311</v>
      </c>
      <c r="E132" s="429" t="s">
        <v>321</v>
      </c>
      <c r="F132" s="430" t="s">
        <v>146</v>
      </c>
      <c r="G132" s="456" t="s">
        <v>152</v>
      </c>
      <c r="H132" s="446">
        <v>0</v>
      </c>
      <c r="I132" s="447">
        <v>0</v>
      </c>
      <c r="J132" s="448">
        <v>0</v>
      </c>
      <c r="K132" s="447">
        <v>0</v>
      </c>
      <c r="L132" s="457">
        <v>0</v>
      </c>
      <c r="M132" s="448">
        <v>0</v>
      </c>
      <c r="N132" s="437">
        <v>0</v>
      </c>
      <c r="O132" s="446">
        <v>0</v>
      </c>
      <c r="P132" s="447">
        <v>0</v>
      </c>
      <c r="Q132" s="455">
        <v>0</v>
      </c>
      <c r="R132" s="453">
        <v>0</v>
      </c>
      <c r="S132" s="448">
        <v>0</v>
      </c>
      <c r="T132" s="454">
        <v>0</v>
      </c>
      <c r="U132" s="454">
        <v>0</v>
      </c>
      <c r="V132" s="454">
        <v>0</v>
      </c>
      <c r="W132" s="455">
        <v>1360</v>
      </c>
      <c r="X132" s="447">
        <v>0</v>
      </c>
      <c r="Y132" s="455">
        <v>0</v>
      </c>
      <c r="Z132" s="447">
        <v>0</v>
      </c>
      <c r="AA132" s="455">
        <v>0</v>
      </c>
    </row>
    <row r="133" spans="1:27" s="458" customFormat="1" x14ac:dyDescent="0.25">
      <c r="A133" s="460">
        <v>102</v>
      </c>
      <c r="B133" s="444" t="s">
        <v>467</v>
      </c>
      <c r="C133" s="444" t="s">
        <v>206</v>
      </c>
      <c r="D133" s="460">
        <v>1079463</v>
      </c>
      <c r="E133" s="461" t="s">
        <v>321</v>
      </c>
      <c r="F133" s="445" t="s">
        <v>146</v>
      </c>
      <c r="G133" s="462" t="s">
        <v>152</v>
      </c>
      <c r="H133" s="432">
        <v>25000</v>
      </c>
      <c r="I133" s="433">
        <v>0</v>
      </c>
      <c r="J133" s="434">
        <v>0</v>
      </c>
      <c r="K133" s="433">
        <v>0</v>
      </c>
      <c r="L133" s="478">
        <v>0</v>
      </c>
      <c r="M133" s="434">
        <v>0</v>
      </c>
      <c r="N133" s="463">
        <v>0</v>
      </c>
      <c r="O133" s="432">
        <v>0</v>
      </c>
      <c r="P133" s="433">
        <v>0</v>
      </c>
      <c r="Q133" s="442">
        <v>0</v>
      </c>
      <c r="R133" s="440">
        <v>0</v>
      </c>
      <c r="S133" s="434">
        <v>0</v>
      </c>
      <c r="T133" s="441">
        <v>0</v>
      </c>
      <c r="U133" s="441">
        <v>0</v>
      </c>
      <c r="V133" s="441">
        <v>0</v>
      </c>
      <c r="W133" s="442">
        <v>0</v>
      </c>
      <c r="X133" s="433">
        <v>0</v>
      </c>
      <c r="Y133" s="442">
        <v>0</v>
      </c>
      <c r="Z133" s="433">
        <v>0</v>
      </c>
      <c r="AA133" s="442">
        <v>0</v>
      </c>
    </row>
    <row r="134" spans="1:27" s="458" customFormat="1" x14ac:dyDescent="0.25">
      <c r="A134" s="428">
        <v>102</v>
      </c>
      <c r="B134" s="427" t="s">
        <v>200</v>
      </c>
      <c r="C134" s="427" t="s">
        <v>247</v>
      </c>
      <c r="D134" s="428" t="s">
        <v>69</v>
      </c>
      <c r="E134" s="429" t="s">
        <v>321</v>
      </c>
      <c r="F134" s="430" t="s">
        <v>146</v>
      </c>
      <c r="G134" s="456" t="s">
        <v>63</v>
      </c>
      <c r="H134" s="446">
        <v>0</v>
      </c>
      <c r="I134" s="447">
        <v>0</v>
      </c>
      <c r="J134" s="448">
        <v>0</v>
      </c>
      <c r="K134" s="447">
        <v>0</v>
      </c>
      <c r="L134" s="457">
        <v>0</v>
      </c>
      <c r="M134" s="448">
        <v>0</v>
      </c>
      <c r="N134" s="437">
        <v>0</v>
      </c>
      <c r="O134" s="446">
        <v>0</v>
      </c>
      <c r="P134" s="447">
        <v>0</v>
      </c>
      <c r="Q134" s="455">
        <v>0</v>
      </c>
      <c r="R134" s="453">
        <v>0</v>
      </c>
      <c r="S134" s="448">
        <v>0</v>
      </c>
      <c r="T134" s="454">
        <v>0</v>
      </c>
      <c r="U134" s="454">
        <v>0</v>
      </c>
      <c r="V134" s="454">
        <v>0</v>
      </c>
      <c r="W134" s="455">
        <v>30000</v>
      </c>
      <c r="X134" s="447">
        <v>0</v>
      </c>
      <c r="Y134" s="455">
        <v>0</v>
      </c>
      <c r="Z134" s="447">
        <v>0</v>
      </c>
      <c r="AA134" s="455">
        <v>0</v>
      </c>
    </row>
    <row r="135" spans="1:27" s="443" customFormat="1" x14ac:dyDescent="0.25">
      <c r="A135" s="459">
        <v>102</v>
      </c>
      <c r="B135" s="444" t="s">
        <v>468</v>
      </c>
      <c r="C135" s="444" t="s">
        <v>246</v>
      </c>
      <c r="D135" s="460" t="s">
        <v>69</v>
      </c>
      <c r="E135" s="461" t="s">
        <v>321</v>
      </c>
      <c r="F135" s="445" t="s">
        <v>146</v>
      </c>
      <c r="G135" s="462" t="s">
        <v>343</v>
      </c>
      <c r="H135" s="432">
        <v>0</v>
      </c>
      <c r="I135" s="438">
        <v>0</v>
      </c>
      <c r="J135" s="436">
        <v>0</v>
      </c>
      <c r="K135" s="438">
        <v>0</v>
      </c>
      <c r="L135" s="435">
        <v>0</v>
      </c>
      <c r="M135" s="436">
        <v>0</v>
      </c>
      <c r="N135" s="463">
        <f>96864-96864</f>
        <v>0</v>
      </c>
      <c r="O135" s="432">
        <f>100000-96864</f>
        <v>3136</v>
      </c>
      <c r="P135" s="438">
        <v>0</v>
      </c>
      <c r="Q135" s="439">
        <v>0</v>
      </c>
      <c r="R135" s="472">
        <v>0</v>
      </c>
      <c r="S135" s="436">
        <v>0</v>
      </c>
      <c r="T135" s="473">
        <v>0</v>
      </c>
      <c r="U135" s="473">
        <v>0</v>
      </c>
      <c r="V135" s="473">
        <v>0</v>
      </c>
      <c r="W135" s="439">
        <v>0</v>
      </c>
      <c r="X135" s="438">
        <v>0</v>
      </c>
      <c r="Y135" s="439">
        <v>0</v>
      </c>
      <c r="Z135" s="438">
        <v>0</v>
      </c>
      <c r="AA135" s="439">
        <v>0</v>
      </c>
    </row>
    <row r="136" spans="1:27" s="458" customFormat="1" x14ac:dyDescent="0.25">
      <c r="A136" s="479">
        <v>102</v>
      </c>
      <c r="B136" s="465" t="s">
        <v>154</v>
      </c>
      <c r="C136" s="465"/>
      <c r="D136" s="428"/>
      <c r="E136" s="429" t="s">
        <v>316</v>
      </c>
      <c r="F136" s="430" t="s">
        <v>306</v>
      </c>
      <c r="G136" s="456" t="s">
        <v>404</v>
      </c>
      <c r="H136" s="432">
        <v>0</v>
      </c>
      <c r="I136" s="433">
        <v>0</v>
      </c>
      <c r="J136" s="434">
        <v>0</v>
      </c>
      <c r="K136" s="433">
        <v>0</v>
      </c>
      <c r="L136" s="478">
        <v>0</v>
      </c>
      <c r="M136" s="434">
        <v>0</v>
      </c>
      <c r="N136" s="437">
        <v>0</v>
      </c>
      <c r="O136" s="432">
        <v>0</v>
      </c>
      <c r="P136" s="433">
        <v>0</v>
      </c>
      <c r="Q136" s="442">
        <v>0</v>
      </c>
      <c r="R136" s="440">
        <v>0</v>
      </c>
      <c r="S136" s="434">
        <v>0</v>
      </c>
      <c r="T136" s="441">
        <v>0</v>
      </c>
      <c r="U136" s="441">
        <v>0</v>
      </c>
      <c r="V136" s="441">
        <v>0</v>
      </c>
      <c r="W136" s="442">
        <v>0</v>
      </c>
      <c r="X136" s="433">
        <v>0</v>
      </c>
      <c r="Y136" s="442">
        <v>0</v>
      </c>
      <c r="Z136" s="433">
        <v>0</v>
      </c>
      <c r="AA136" s="442">
        <v>0</v>
      </c>
    </row>
    <row r="137" spans="1:27" s="458" customFormat="1" x14ac:dyDescent="0.25">
      <c r="A137" s="428">
        <v>102</v>
      </c>
      <c r="B137" s="427" t="s">
        <v>353</v>
      </c>
      <c r="C137" s="465" t="s">
        <v>354</v>
      </c>
      <c r="D137" s="428"/>
      <c r="E137" s="429" t="s">
        <v>316</v>
      </c>
      <c r="F137" s="430" t="s">
        <v>306</v>
      </c>
      <c r="G137" s="456" t="s">
        <v>355</v>
      </c>
      <c r="H137" s="467">
        <v>0</v>
      </c>
      <c r="I137" s="447"/>
      <c r="J137" s="448"/>
      <c r="K137" s="447"/>
      <c r="L137" s="457"/>
      <c r="M137" s="448"/>
      <c r="N137" s="437"/>
      <c r="O137" s="446">
        <v>0</v>
      </c>
      <c r="P137" s="447">
        <v>0</v>
      </c>
      <c r="Q137" s="455">
        <v>0</v>
      </c>
      <c r="R137" s="453">
        <v>0</v>
      </c>
      <c r="S137" s="448">
        <v>0</v>
      </c>
      <c r="T137" s="454">
        <v>0</v>
      </c>
      <c r="U137" s="454">
        <v>0</v>
      </c>
      <c r="V137" s="454">
        <v>0</v>
      </c>
      <c r="W137" s="455">
        <v>0</v>
      </c>
      <c r="X137" s="447"/>
      <c r="Y137" s="455"/>
      <c r="Z137" s="447"/>
      <c r="AA137" s="455"/>
    </row>
    <row r="138" spans="1:27" s="458" customFormat="1" x14ac:dyDescent="0.25">
      <c r="A138" s="428">
        <v>102</v>
      </c>
      <c r="B138" s="427" t="s">
        <v>283</v>
      </c>
      <c r="C138" s="427"/>
      <c r="D138" s="428"/>
      <c r="E138" s="429" t="s">
        <v>316</v>
      </c>
      <c r="F138" s="430" t="s">
        <v>306</v>
      </c>
      <c r="G138" s="456" t="s">
        <v>403</v>
      </c>
      <c r="H138" s="446">
        <v>0</v>
      </c>
      <c r="I138" s="447">
        <v>0</v>
      </c>
      <c r="J138" s="448">
        <v>0</v>
      </c>
      <c r="K138" s="447">
        <v>0</v>
      </c>
      <c r="L138" s="457">
        <v>0</v>
      </c>
      <c r="M138" s="448">
        <v>0</v>
      </c>
      <c r="N138" s="437">
        <v>0</v>
      </c>
      <c r="O138" s="446">
        <v>0</v>
      </c>
      <c r="P138" s="447">
        <v>0</v>
      </c>
      <c r="Q138" s="455">
        <v>0</v>
      </c>
      <c r="R138" s="440">
        <v>0</v>
      </c>
      <c r="S138" s="434">
        <v>0</v>
      </c>
      <c r="T138" s="441">
        <v>0</v>
      </c>
      <c r="U138" s="441">
        <v>0</v>
      </c>
      <c r="V138" s="441">
        <v>0</v>
      </c>
      <c r="W138" s="455">
        <v>0</v>
      </c>
      <c r="X138" s="447">
        <v>0</v>
      </c>
      <c r="Y138" s="455">
        <v>0</v>
      </c>
      <c r="Z138" s="447">
        <v>0</v>
      </c>
      <c r="AA138" s="455">
        <v>0</v>
      </c>
    </row>
    <row r="139" spans="1:27" s="443" customFormat="1" ht="16.5" customHeight="1" x14ac:dyDescent="0.25">
      <c r="A139" s="426">
        <v>102</v>
      </c>
      <c r="B139" s="427" t="s">
        <v>30</v>
      </c>
      <c r="C139" s="427"/>
      <c r="D139" s="428"/>
      <c r="E139" s="429" t="s">
        <v>316</v>
      </c>
      <c r="F139" s="430" t="s">
        <v>306</v>
      </c>
      <c r="G139" s="431" t="s">
        <v>307</v>
      </c>
      <c r="H139" s="432">
        <v>0</v>
      </c>
      <c r="I139" s="433">
        <v>0</v>
      </c>
      <c r="J139" s="434">
        <v>0</v>
      </c>
      <c r="K139" s="433">
        <v>0</v>
      </c>
      <c r="L139" s="435">
        <v>0</v>
      </c>
      <c r="M139" s="436">
        <v>0</v>
      </c>
      <c r="N139" s="437">
        <v>0</v>
      </c>
      <c r="O139" s="432">
        <v>0</v>
      </c>
      <c r="P139" s="438">
        <v>0</v>
      </c>
      <c r="Q139" s="439">
        <v>0</v>
      </c>
      <c r="R139" s="440">
        <v>0</v>
      </c>
      <c r="S139" s="434">
        <v>0</v>
      </c>
      <c r="T139" s="441">
        <v>0</v>
      </c>
      <c r="U139" s="441">
        <v>0</v>
      </c>
      <c r="V139" s="441">
        <v>0</v>
      </c>
      <c r="W139" s="442">
        <v>0</v>
      </c>
      <c r="X139" s="438">
        <v>0</v>
      </c>
      <c r="Y139" s="439">
        <v>0</v>
      </c>
      <c r="Z139" s="438">
        <v>0</v>
      </c>
      <c r="AA139" s="439">
        <v>0</v>
      </c>
    </row>
    <row r="140" spans="1:27" s="443" customFormat="1" x14ac:dyDescent="0.25">
      <c r="A140" s="426">
        <v>102</v>
      </c>
      <c r="B140" s="427" t="s">
        <v>45</v>
      </c>
      <c r="C140" s="427"/>
      <c r="D140" s="428"/>
      <c r="E140" s="429" t="s">
        <v>316</v>
      </c>
      <c r="F140" s="430" t="s">
        <v>306</v>
      </c>
      <c r="G140" s="431" t="s">
        <v>307</v>
      </c>
      <c r="H140" s="432">
        <v>0</v>
      </c>
      <c r="I140" s="433">
        <v>0</v>
      </c>
      <c r="J140" s="434">
        <v>0</v>
      </c>
      <c r="K140" s="433">
        <v>0</v>
      </c>
      <c r="L140" s="435">
        <v>0</v>
      </c>
      <c r="M140" s="450">
        <v>0</v>
      </c>
      <c r="N140" s="442">
        <v>0</v>
      </c>
      <c r="O140" s="432">
        <v>0</v>
      </c>
      <c r="P140" s="438">
        <v>0</v>
      </c>
      <c r="Q140" s="439">
        <v>0</v>
      </c>
      <c r="R140" s="440">
        <v>0</v>
      </c>
      <c r="S140" s="434">
        <v>0</v>
      </c>
      <c r="T140" s="441">
        <v>0</v>
      </c>
      <c r="U140" s="441">
        <v>0</v>
      </c>
      <c r="V140" s="441">
        <v>0</v>
      </c>
      <c r="W140" s="442">
        <v>0</v>
      </c>
      <c r="X140" s="438">
        <v>0</v>
      </c>
      <c r="Y140" s="439">
        <v>0</v>
      </c>
      <c r="Z140" s="438">
        <v>0</v>
      </c>
      <c r="AA140" s="439">
        <v>0</v>
      </c>
    </row>
    <row r="141" spans="1:27" s="458" customFormat="1" x14ac:dyDescent="0.25">
      <c r="A141" s="460">
        <v>102</v>
      </c>
      <c r="B141" s="444" t="s">
        <v>7</v>
      </c>
      <c r="C141" s="444"/>
      <c r="D141" s="460"/>
      <c r="E141" s="461" t="s">
        <v>316</v>
      </c>
      <c r="F141" s="445" t="s">
        <v>306</v>
      </c>
      <c r="G141" s="462" t="s">
        <v>307</v>
      </c>
      <c r="H141" s="432">
        <v>0</v>
      </c>
      <c r="I141" s="433">
        <v>0</v>
      </c>
      <c r="J141" s="434">
        <v>0</v>
      </c>
      <c r="K141" s="433">
        <v>0</v>
      </c>
      <c r="L141" s="478">
        <v>0</v>
      </c>
      <c r="M141" s="434">
        <v>0</v>
      </c>
      <c r="N141" s="463">
        <v>0</v>
      </c>
      <c r="O141" s="432">
        <v>0</v>
      </c>
      <c r="P141" s="433">
        <v>0</v>
      </c>
      <c r="Q141" s="442">
        <v>0</v>
      </c>
      <c r="R141" s="440">
        <v>0</v>
      </c>
      <c r="S141" s="434">
        <v>0</v>
      </c>
      <c r="T141" s="441">
        <v>0</v>
      </c>
      <c r="U141" s="441">
        <v>0</v>
      </c>
      <c r="V141" s="441">
        <v>0</v>
      </c>
      <c r="W141" s="442">
        <v>0</v>
      </c>
      <c r="X141" s="433">
        <v>0</v>
      </c>
      <c r="Y141" s="442">
        <v>0</v>
      </c>
      <c r="Z141" s="433">
        <v>0</v>
      </c>
      <c r="AA141" s="442">
        <v>0</v>
      </c>
    </row>
    <row r="142" spans="1:27" s="458" customFormat="1" x14ac:dyDescent="0.25">
      <c r="A142" s="428">
        <v>102</v>
      </c>
      <c r="B142" s="427" t="s">
        <v>143</v>
      </c>
      <c r="C142" s="427"/>
      <c r="D142" s="428"/>
      <c r="E142" s="429" t="s">
        <v>316</v>
      </c>
      <c r="F142" s="430" t="s">
        <v>306</v>
      </c>
      <c r="G142" s="456" t="s">
        <v>307</v>
      </c>
      <c r="H142" s="446">
        <v>0</v>
      </c>
      <c r="I142" s="447">
        <v>0</v>
      </c>
      <c r="J142" s="448">
        <v>0</v>
      </c>
      <c r="K142" s="447">
        <v>0</v>
      </c>
      <c r="L142" s="457">
        <v>0</v>
      </c>
      <c r="M142" s="480">
        <v>0</v>
      </c>
      <c r="N142" s="437">
        <v>0</v>
      </c>
      <c r="O142" s="446">
        <v>0</v>
      </c>
      <c r="P142" s="447">
        <v>0</v>
      </c>
      <c r="Q142" s="455">
        <v>0</v>
      </c>
      <c r="R142" s="453">
        <v>0</v>
      </c>
      <c r="S142" s="448">
        <v>0</v>
      </c>
      <c r="T142" s="454">
        <v>0</v>
      </c>
      <c r="U142" s="454">
        <v>0</v>
      </c>
      <c r="V142" s="454">
        <v>0</v>
      </c>
      <c r="W142" s="455">
        <v>0</v>
      </c>
      <c r="X142" s="447">
        <v>0</v>
      </c>
      <c r="Y142" s="455">
        <v>0</v>
      </c>
      <c r="Z142" s="447">
        <v>0</v>
      </c>
      <c r="AA142" s="455">
        <v>0</v>
      </c>
    </row>
    <row r="143" spans="1:27" s="443" customFormat="1" x14ac:dyDescent="0.25">
      <c r="A143" s="459">
        <v>102</v>
      </c>
      <c r="B143" s="444" t="s">
        <v>147</v>
      </c>
      <c r="C143" s="444"/>
      <c r="D143" s="460"/>
      <c r="E143" s="461" t="s">
        <v>316</v>
      </c>
      <c r="F143" s="445" t="s">
        <v>306</v>
      </c>
      <c r="G143" s="462" t="s">
        <v>307</v>
      </c>
      <c r="H143" s="432">
        <v>0</v>
      </c>
      <c r="I143" s="433">
        <v>0</v>
      </c>
      <c r="J143" s="434">
        <v>0</v>
      </c>
      <c r="K143" s="433">
        <v>0</v>
      </c>
      <c r="L143" s="435">
        <v>0</v>
      </c>
      <c r="M143" s="436">
        <v>0</v>
      </c>
      <c r="N143" s="470">
        <v>0</v>
      </c>
      <c r="O143" s="432">
        <v>0</v>
      </c>
      <c r="P143" s="438">
        <v>0</v>
      </c>
      <c r="Q143" s="439">
        <v>0</v>
      </c>
      <c r="R143" s="440">
        <v>0</v>
      </c>
      <c r="S143" s="434">
        <v>0</v>
      </c>
      <c r="T143" s="441">
        <v>0</v>
      </c>
      <c r="U143" s="441">
        <v>0</v>
      </c>
      <c r="V143" s="441">
        <v>0</v>
      </c>
      <c r="W143" s="442">
        <v>0</v>
      </c>
      <c r="X143" s="438">
        <v>0</v>
      </c>
      <c r="Y143" s="439">
        <v>0</v>
      </c>
      <c r="Z143" s="438">
        <v>0</v>
      </c>
      <c r="AA143" s="439">
        <v>0</v>
      </c>
    </row>
    <row r="144" spans="1:27" s="443" customFormat="1" x14ac:dyDescent="0.25">
      <c r="A144" s="459">
        <v>102</v>
      </c>
      <c r="B144" s="444" t="s">
        <v>469</v>
      </c>
      <c r="C144" s="444"/>
      <c r="D144" s="460"/>
      <c r="E144" s="461" t="s">
        <v>316</v>
      </c>
      <c r="F144" s="445" t="s">
        <v>306</v>
      </c>
      <c r="G144" s="462" t="s">
        <v>307</v>
      </c>
      <c r="H144" s="432">
        <v>0</v>
      </c>
      <c r="I144" s="433">
        <v>0</v>
      </c>
      <c r="J144" s="434">
        <v>0</v>
      </c>
      <c r="K144" s="433">
        <v>0</v>
      </c>
      <c r="L144" s="435">
        <v>0</v>
      </c>
      <c r="M144" s="436">
        <v>0</v>
      </c>
      <c r="N144" s="470">
        <v>0</v>
      </c>
      <c r="O144" s="432">
        <v>0</v>
      </c>
      <c r="P144" s="438">
        <v>0</v>
      </c>
      <c r="Q144" s="439">
        <v>0</v>
      </c>
      <c r="R144" s="440">
        <v>0</v>
      </c>
      <c r="S144" s="434">
        <v>0</v>
      </c>
      <c r="T144" s="441">
        <v>0</v>
      </c>
      <c r="U144" s="441">
        <v>0</v>
      </c>
      <c r="V144" s="441">
        <v>0</v>
      </c>
      <c r="W144" s="442">
        <v>0</v>
      </c>
      <c r="X144" s="438">
        <v>0</v>
      </c>
      <c r="Y144" s="439">
        <v>0</v>
      </c>
      <c r="Z144" s="438">
        <v>0</v>
      </c>
      <c r="AA144" s="439">
        <v>0</v>
      </c>
    </row>
    <row r="145" spans="1:27" s="443" customFormat="1" x14ac:dyDescent="0.25">
      <c r="A145" s="459">
        <v>102</v>
      </c>
      <c r="B145" s="444" t="s">
        <v>8</v>
      </c>
      <c r="C145" s="444"/>
      <c r="D145" s="460"/>
      <c r="E145" s="461" t="s">
        <v>316</v>
      </c>
      <c r="F145" s="445" t="s">
        <v>306</v>
      </c>
      <c r="G145" s="462" t="s">
        <v>307</v>
      </c>
      <c r="H145" s="432">
        <v>0</v>
      </c>
      <c r="I145" s="438">
        <v>0</v>
      </c>
      <c r="J145" s="436">
        <v>0</v>
      </c>
      <c r="K145" s="438">
        <v>0</v>
      </c>
      <c r="L145" s="435">
        <v>0</v>
      </c>
      <c r="M145" s="436">
        <v>0</v>
      </c>
      <c r="N145" s="470">
        <v>0</v>
      </c>
      <c r="O145" s="432">
        <v>0</v>
      </c>
      <c r="P145" s="438">
        <v>0</v>
      </c>
      <c r="Q145" s="439">
        <v>0</v>
      </c>
      <c r="R145" s="472">
        <v>0</v>
      </c>
      <c r="S145" s="436">
        <v>0</v>
      </c>
      <c r="T145" s="473">
        <v>0</v>
      </c>
      <c r="U145" s="473">
        <v>0</v>
      </c>
      <c r="V145" s="473">
        <v>0</v>
      </c>
      <c r="W145" s="439">
        <v>0</v>
      </c>
      <c r="X145" s="438">
        <v>0</v>
      </c>
      <c r="Y145" s="439">
        <v>0</v>
      </c>
      <c r="Z145" s="438">
        <v>0</v>
      </c>
      <c r="AA145" s="439">
        <v>0</v>
      </c>
    </row>
    <row r="146" spans="1:27" s="458" customFormat="1" x14ac:dyDescent="0.25">
      <c r="A146" s="428">
        <v>102</v>
      </c>
      <c r="B146" s="444" t="s">
        <v>150</v>
      </c>
      <c r="C146" s="444" t="s">
        <v>150</v>
      </c>
      <c r="D146" s="428"/>
      <c r="E146" s="429" t="s">
        <v>316</v>
      </c>
      <c r="F146" s="430" t="s">
        <v>306</v>
      </c>
      <c r="G146" s="456" t="s">
        <v>307</v>
      </c>
      <c r="H146" s="446">
        <v>0</v>
      </c>
      <c r="I146" s="447">
        <v>0</v>
      </c>
      <c r="J146" s="448">
        <v>0</v>
      </c>
      <c r="K146" s="447">
        <v>0</v>
      </c>
      <c r="L146" s="457">
        <v>0</v>
      </c>
      <c r="M146" s="448">
        <v>0</v>
      </c>
      <c r="N146" s="437">
        <v>0</v>
      </c>
      <c r="O146" s="446">
        <v>0</v>
      </c>
      <c r="P146" s="447">
        <v>0</v>
      </c>
      <c r="Q146" s="455">
        <v>0</v>
      </c>
      <c r="R146" s="453">
        <v>0</v>
      </c>
      <c r="S146" s="448">
        <v>0</v>
      </c>
      <c r="T146" s="454">
        <v>0</v>
      </c>
      <c r="U146" s="454">
        <v>0</v>
      </c>
      <c r="V146" s="454">
        <v>0</v>
      </c>
      <c r="W146" s="455">
        <v>0</v>
      </c>
      <c r="X146" s="447">
        <v>0</v>
      </c>
      <c r="Y146" s="455">
        <v>0</v>
      </c>
      <c r="Z146" s="447">
        <v>0</v>
      </c>
      <c r="AA146" s="455">
        <v>0</v>
      </c>
    </row>
    <row r="147" spans="1:27" s="131" customFormat="1" x14ac:dyDescent="0.25">
      <c r="A147" s="108">
        <v>102</v>
      </c>
      <c r="B147" s="109" t="s">
        <v>74</v>
      </c>
      <c r="C147" s="109"/>
      <c r="D147" s="229"/>
      <c r="E147" s="333"/>
      <c r="F147" s="110"/>
      <c r="G147" s="110"/>
      <c r="H147" s="111"/>
      <c r="I147" s="112">
        <v>0</v>
      </c>
      <c r="J147" s="113"/>
      <c r="K147" s="112"/>
      <c r="L147" s="115">
        <v>0</v>
      </c>
      <c r="M147" s="113"/>
      <c r="N147" s="116"/>
      <c r="O147" s="111"/>
      <c r="P147" s="112">
        <v>0</v>
      </c>
      <c r="Q147" s="114"/>
      <c r="R147" s="142"/>
      <c r="S147" s="113"/>
      <c r="T147" s="152"/>
      <c r="U147" s="152"/>
      <c r="V147" s="152"/>
      <c r="W147" s="114"/>
      <c r="X147" s="112">
        <v>0</v>
      </c>
      <c r="Y147" s="114"/>
      <c r="Z147" s="112">
        <v>0</v>
      </c>
      <c r="AA147" s="114"/>
    </row>
    <row r="148" spans="1:27" s="1" customFormat="1" x14ac:dyDescent="0.25">
      <c r="A148" s="50"/>
      <c r="B148" s="51"/>
      <c r="C148" s="51"/>
      <c r="D148" s="230"/>
      <c r="E148" s="334"/>
      <c r="F148" s="89"/>
      <c r="G148" s="89"/>
      <c r="H148" s="36"/>
      <c r="I148" s="37"/>
      <c r="J148" s="38"/>
      <c r="K148" s="37"/>
      <c r="L148" s="40"/>
      <c r="M148" s="38"/>
      <c r="N148" s="64"/>
      <c r="O148" s="36"/>
      <c r="P148" s="37"/>
      <c r="Q148" s="39"/>
      <c r="R148" s="143"/>
      <c r="S148" s="38"/>
      <c r="T148" s="153"/>
      <c r="U148" s="153"/>
      <c r="V148" s="153"/>
      <c r="W148" s="39"/>
      <c r="X148" s="37"/>
      <c r="Y148" s="39"/>
      <c r="Z148" s="37"/>
      <c r="AA148" s="39"/>
    </row>
    <row r="149" spans="1:27" s="1" customFormat="1" x14ac:dyDescent="0.25">
      <c r="A149" s="52"/>
      <c r="B149" s="62" t="s">
        <v>39</v>
      </c>
      <c r="C149" s="62"/>
      <c r="D149" s="231"/>
      <c r="E149" s="335"/>
      <c r="F149" s="62"/>
      <c r="G149" s="62"/>
      <c r="H149" s="53">
        <f t="shared" ref="H149:AA149" si="10">SUM(H77:H148)</f>
        <v>2120243.5300000003</v>
      </c>
      <c r="I149" s="54">
        <f t="shared" si="10"/>
        <v>0</v>
      </c>
      <c r="J149" s="55">
        <f t="shared" si="10"/>
        <v>10720</v>
      </c>
      <c r="K149" s="54">
        <f t="shared" si="10"/>
        <v>433441.45</v>
      </c>
      <c r="L149" s="57">
        <f t="shared" si="10"/>
        <v>0</v>
      </c>
      <c r="M149" s="55">
        <f t="shared" si="10"/>
        <v>0</v>
      </c>
      <c r="N149" s="58">
        <f t="shared" si="10"/>
        <v>4498587.45</v>
      </c>
      <c r="O149" s="53">
        <f t="shared" si="10"/>
        <v>2183642</v>
      </c>
      <c r="P149" s="54">
        <f t="shared" si="10"/>
        <v>0</v>
      </c>
      <c r="Q149" s="56">
        <f t="shared" si="10"/>
        <v>118602.42</v>
      </c>
      <c r="R149" s="140">
        <f t="shared" si="10"/>
        <v>0</v>
      </c>
      <c r="S149" s="55">
        <f t="shared" si="10"/>
        <v>0</v>
      </c>
      <c r="T149" s="55">
        <f t="shared" si="10"/>
        <v>13717956</v>
      </c>
      <c r="U149" s="55">
        <f t="shared" si="10"/>
        <v>1005612</v>
      </c>
      <c r="V149" s="55">
        <f t="shared" si="10"/>
        <v>2453928</v>
      </c>
      <c r="W149" s="56">
        <f t="shared" si="10"/>
        <v>5507708.6600000001</v>
      </c>
      <c r="X149" s="54">
        <f t="shared" si="10"/>
        <v>0</v>
      </c>
      <c r="Y149" s="56">
        <f t="shared" si="10"/>
        <v>445688</v>
      </c>
      <c r="Z149" s="54">
        <f t="shared" si="10"/>
        <v>0</v>
      </c>
      <c r="AA149" s="56">
        <f t="shared" si="10"/>
        <v>120126</v>
      </c>
    </row>
    <row r="150" spans="1:27" s="1" customFormat="1" x14ac:dyDescent="0.25">
      <c r="A150" s="32"/>
      <c r="B150" s="8"/>
      <c r="C150" s="8"/>
      <c r="D150" s="232"/>
      <c r="E150" s="336"/>
      <c r="F150" s="8"/>
      <c r="G150" s="8"/>
      <c r="H150" s="18"/>
      <c r="I150" s="9"/>
      <c r="J150" s="12"/>
      <c r="K150" s="9"/>
      <c r="L150" s="24"/>
      <c r="M150" s="12"/>
      <c r="N150" s="25"/>
      <c r="O150" s="18"/>
      <c r="P150" s="9"/>
      <c r="Q150" s="29"/>
      <c r="R150" s="135"/>
      <c r="S150" s="12"/>
      <c r="T150" s="147"/>
      <c r="U150" s="147"/>
      <c r="V150" s="147"/>
      <c r="W150" s="29"/>
      <c r="X150" s="9"/>
      <c r="Y150" s="29"/>
      <c r="Z150" s="9"/>
      <c r="AA150" s="29"/>
    </row>
    <row r="151" spans="1:27" s="1" customFormat="1" ht="15.75" thickBot="1" x14ac:dyDescent="0.3">
      <c r="A151" s="7"/>
      <c r="B151" s="74" t="s">
        <v>38</v>
      </c>
      <c r="C151" s="74"/>
      <c r="D151" s="233"/>
      <c r="E151" s="317"/>
      <c r="F151" s="74"/>
      <c r="G151" s="74"/>
      <c r="H151" s="68">
        <f t="shared" ref="H151:AA151" si="11">+H74+H149</f>
        <v>7889004.96</v>
      </c>
      <c r="I151" s="69">
        <f t="shared" si="11"/>
        <v>0</v>
      </c>
      <c r="J151" s="70">
        <f t="shared" si="11"/>
        <v>10720</v>
      </c>
      <c r="K151" s="69">
        <f t="shared" si="11"/>
        <v>3218624.8600000003</v>
      </c>
      <c r="L151" s="72">
        <f t="shared" si="11"/>
        <v>0</v>
      </c>
      <c r="M151" s="70">
        <f t="shared" si="11"/>
        <v>0</v>
      </c>
      <c r="N151" s="73">
        <f t="shared" si="11"/>
        <v>13498587.449999999</v>
      </c>
      <c r="O151" s="68">
        <f t="shared" si="11"/>
        <v>3533642</v>
      </c>
      <c r="P151" s="69">
        <f t="shared" si="11"/>
        <v>6787505.8700000001</v>
      </c>
      <c r="Q151" s="71">
        <f t="shared" si="11"/>
        <v>118602.42</v>
      </c>
      <c r="R151" s="144">
        <f t="shared" si="11"/>
        <v>0</v>
      </c>
      <c r="S151" s="70">
        <f t="shared" si="11"/>
        <v>0</v>
      </c>
      <c r="T151" s="70">
        <f t="shared" si="11"/>
        <v>17528057</v>
      </c>
      <c r="U151" s="70">
        <f t="shared" si="11"/>
        <v>3505612</v>
      </c>
      <c r="V151" s="70">
        <f t="shared" si="11"/>
        <v>3505612</v>
      </c>
      <c r="W151" s="71">
        <f t="shared" si="11"/>
        <v>7866708.6600000001</v>
      </c>
      <c r="X151" s="69">
        <f t="shared" si="11"/>
        <v>0</v>
      </c>
      <c r="Y151" s="71">
        <f t="shared" si="11"/>
        <v>445688</v>
      </c>
      <c r="Z151" s="69">
        <f t="shared" si="11"/>
        <v>1799478.1099999999</v>
      </c>
      <c r="AA151" s="71">
        <f t="shared" si="11"/>
        <v>120126</v>
      </c>
    </row>
    <row r="152" spans="1:27" s="1" customFormat="1" ht="15.75" thickTop="1" x14ac:dyDescent="0.25">
      <c r="A152" s="7"/>
      <c r="D152" s="4"/>
      <c r="E152" s="317"/>
      <c r="H152" s="5"/>
      <c r="I152" s="5"/>
      <c r="J152" s="5"/>
      <c r="K152" s="5"/>
      <c r="L152" s="5"/>
      <c r="M152" s="5"/>
      <c r="N152" s="5"/>
      <c r="O152" s="5"/>
      <c r="P152" s="5"/>
      <c r="Q152" s="5"/>
      <c r="X152" s="5"/>
      <c r="Y152" s="5"/>
      <c r="Z152" s="5"/>
      <c r="AA152" s="5"/>
    </row>
    <row r="153" spans="1:27" s="1" customFormat="1" x14ac:dyDescent="0.25">
      <c r="A153" s="7"/>
      <c r="D153" s="4"/>
      <c r="E153" s="317"/>
      <c r="G153" s="213"/>
      <c r="H153" s="5"/>
      <c r="I153" s="5"/>
      <c r="J153" s="5"/>
      <c r="K153" s="5"/>
      <c r="L153" s="5"/>
      <c r="M153" s="5"/>
      <c r="N153" s="5"/>
      <c r="O153" s="5"/>
      <c r="P153" s="5"/>
      <c r="Q153" s="5"/>
      <c r="X153" s="5"/>
      <c r="Y153" s="5"/>
      <c r="Z153" s="5"/>
      <c r="AA153" s="5"/>
    </row>
    <row r="154" spans="1:27" s="1" customFormat="1" x14ac:dyDescent="0.25">
      <c r="A154" s="7"/>
      <c r="D154" s="4"/>
      <c r="E154" s="317"/>
      <c r="G154" s="213"/>
      <c r="H154" s="5"/>
      <c r="I154" s="5"/>
      <c r="J154" s="5"/>
      <c r="K154" s="5"/>
      <c r="L154" s="5"/>
      <c r="M154" s="5"/>
      <c r="N154" s="5"/>
      <c r="O154" s="5"/>
      <c r="P154" s="5"/>
      <c r="Q154" s="5"/>
      <c r="X154" s="5"/>
      <c r="Y154" s="5"/>
      <c r="Z154" s="5"/>
      <c r="AA154" s="5"/>
    </row>
    <row r="155" spans="1:27" s="1" customFormat="1" x14ac:dyDescent="0.25">
      <c r="A155" s="7"/>
      <c r="D155" s="4"/>
      <c r="E155" s="317"/>
      <c r="H155" s="5"/>
      <c r="I155" s="5"/>
      <c r="J155" s="5"/>
      <c r="K155" s="5"/>
      <c r="L155" s="5"/>
      <c r="M155" s="5"/>
      <c r="N155" s="5"/>
      <c r="O155" s="5"/>
      <c r="P155" s="5"/>
      <c r="Q155" s="5"/>
      <c r="X155" s="5"/>
      <c r="Y155" s="5"/>
      <c r="Z155" s="5"/>
      <c r="AA155" s="5"/>
    </row>
    <row r="156" spans="1:27" s="1" customFormat="1" x14ac:dyDescent="0.25">
      <c r="A156" s="7"/>
      <c r="D156" s="4"/>
      <c r="E156" s="317"/>
      <c r="F156" s="503" t="s">
        <v>80</v>
      </c>
      <c r="G156" s="503"/>
      <c r="H156" s="5"/>
      <c r="I156" s="5"/>
      <c r="J156" s="5"/>
      <c r="K156" s="5"/>
      <c r="L156" s="5"/>
      <c r="M156" s="5"/>
      <c r="N156" s="5"/>
      <c r="O156" s="5"/>
      <c r="P156" s="5"/>
      <c r="Q156" s="5"/>
      <c r="X156" s="5"/>
      <c r="Y156" s="5"/>
      <c r="Z156" s="5"/>
      <c r="AA156" s="5"/>
    </row>
    <row r="157" spans="1:27" s="1" customFormat="1" x14ac:dyDescent="0.25">
      <c r="A157" s="7"/>
      <c r="B157" s="2"/>
      <c r="C157" s="2"/>
      <c r="D157" s="3"/>
      <c r="E157" s="337"/>
      <c r="G157" s="156" t="s">
        <v>78</v>
      </c>
      <c r="H157" s="163">
        <v>1912</v>
      </c>
      <c r="I157" s="163"/>
      <c r="J157" s="163">
        <v>1913</v>
      </c>
      <c r="K157" s="164"/>
      <c r="L157" s="165"/>
      <c r="M157" s="163">
        <v>1958</v>
      </c>
      <c r="N157" s="163"/>
      <c r="O157" s="163">
        <v>1959</v>
      </c>
      <c r="P157" s="163"/>
      <c r="Q157" s="163">
        <v>1970</v>
      </c>
      <c r="R157" s="163" t="s">
        <v>277</v>
      </c>
      <c r="S157" s="163" t="s">
        <v>4</v>
      </c>
      <c r="T157" s="3" t="s">
        <v>77</v>
      </c>
      <c r="U157" s="3" t="s">
        <v>76</v>
      </c>
      <c r="V157" s="3" t="s">
        <v>75</v>
      </c>
      <c r="W157" s="3" t="s">
        <v>11</v>
      </c>
      <c r="X157" s="163"/>
      <c r="Y157" s="163">
        <v>2492</v>
      </c>
      <c r="Z157" s="163"/>
      <c r="AA157" s="163">
        <v>2499</v>
      </c>
    </row>
    <row r="158" spans="1:27" s="1" customFormat="1" x14ac:dyDescent="0.25">
      <c r="A158" s="7"/>
      <c r="B158" s="2"/>
      <c r="C158" s="2"/>
      <c r="D158" s="3"/>
      <c r="E158" s="337"/>
      <c r="F158" s="531" t="s">
        <v>139</v>
      </c>
      <c r="G158" s="531"/>
      <c r="H158" s="157">
        <f>6456314-25000</f>
        <v>6431314</v>
      </c>
      <c r="J158" s="157">
        <f>33877234.8+3080193.08</f>
        <v>36957427.879999995</v>
      </c>
      <c r="K158" s="5"/>
      <c r="L158" s="5"/>
      <c r="M158" s="157">
        <f>140459226.3+9000000</f>
        <v>149459226.30000001</v>
      </c>
      <c r="N158" s="5"/>
      <c r="O158" s="157">
        <v>1350000</v>
      </c>
      <c r="P158" s="5"/>
      <c r="Q158" s="157">
        <v>6869209</v>
      </c>
      <c r="R158" s="157">
        <f>315505044+5258417+1051684+1051684+2629209</f>
        <v>325496038</v>
      </c>
      <c r="S158" s="65">
        <v>315505044</v>
      </c>
      <c r="T158" s="5">
        <f>5258417-1448316</f>
        <v>3810101</v>
      </c>
      <c r="U158" s="5">
        <f>1051684+1448316</f>
        <v>2500000</v>
      </c>
      <c r="V158" s="5">
        <v>1051684</v>
      </c>
      <c r="W158" s="5">
        <v>2629209</v>
      </c>
      <c r="X158" s="5"/>
      <c r="Y158" s="157">
        <v>1722177.75</v>
      </c>
      <c r="Z158" s="5"/>
      <c r="AA158" s="157">
        <v>6498664</v>
      </c>
    </row>
    <row r="159" spans="1:27" s="1" customFormat="1" x14ac:dyDescent="0.25">
      <c r="A159" s="7"/>
      <c r="D159" s="4"/>
      <c r="E159" s="317"/>
      <c r="F159" s="531" t="s">
        <v>140</v>
      </c>
      <c r="G159" s="531"/>
      <c r="H159" s="5">
        <f>+H32+H33</f>
        <v>5768761.4299999997</v>
      </c>
      <c r="J159" s="5">
        <f>+I32+J32+K32+I33+J33+K33</f>
        <v>36662418.209999993</v>
      </c>
      <c r="K159" s="5"/>
      <c r="L159" s="5"/>
      <c r="M159" s="5">
        <f>+L32+M32+N32+L33+M33+N33</f>
        <v>149459226.30000001</v>
      </c>
      <c r="N159" s="5"/>
      <c r="O159" s="5">
        <f>+O33+O32</f>
        <v>1350000</v>
      </c>
      <c r="P159" s="5"/>
      <c r="Q159" s="5">
        <f>+P32+Q32+P33+Q33</f>
        <v>6787505.8700000001</v>
      </c>
      <c r="R159" s="5">
        <f>R32+S32++T32+U32+V32+W32+R33+S33+T33+U33+V33+W33</f>
        <v>325225829</v>
      </c>
      <c r="S159" s="278">
        <f>R32+R33</f>
        <v>315505044</v>
      </c>
      <c r="T159" s="278">
        <f>T32+T33</f>
        <v>3810101</v>
      </c>
      <c r="U159" s="278">
        <f>U32+U33</f>
        <v>2500000</v>
      </c>
      <c r="V159" s="278">
        <f>V32+V33</f>
        <v>1051684</v>
      </c>
      <c r="W159" s="278">
        <f>W32+W33</f>
        <v>2359000</v>
      </c>
      <c r="X159" s="5"/>
      <c r="Y159" s="5">
        <f>+X32+Y32+X33+Y33</f>
        <v>1722177.75</v>
      </c>
      <c r="Z159" s="5"/>
      <c r="AA159" s="5">
        <f>+Z32+AA32+Z33+AA33</f>
        <v>1799478.1099999999</v>
      </c>
    </row>
    <row r="160" spans="1:27" s="1" customFormat="1" x14ac:dyDescent="0.25">
      <c r="A160" s="7"/>
      <c r="D160" s="4"/>
      <c r="E160" s="317"/>
      <c r="F160" s="120"/>
      <c r="G160" s="5" t="s">
        <v>141</v>
      </c>
      <c r="H160" s="155">
        <f>+H158-H159</f>
        <v>662552.5700000003</v>
      </c>
      <c r="J160" s="155">
        <f>+J158-J159</f>
        <v>295009.67000000179</v>
      </c>
      <c r="K160" s="5"/>
      <c r="L160" s="5"/>
      <c r="M160" s="155">
        <f>+M158-M159</f>
        <v>0</v>
      </c>
      <c r="N160" s="5"/>
      <c r="O160" s="155">
        <f>+O158-O159</f>
        <v>0</v>
      </c>
      <c r="P160" s="5"/>
      <c r="Q160" s="155">
        <f t="shared" ref="Q160:W160" si="12">+Q158-Q159</f>
        <v>81703.129999999888</v>
      </c>
      <c r="R160" s="155">
        <f t="shared" si="12"/>
        <v>270209</v>
      </c>
      <c r="S160" s="155">
        <f t="shared" si="12"/>
        <v>0</v>
      </c>
      <c r="T160" s="155">
        <f t="shared" si="12"/>
        <v>0</v>
      </c>
      <c r="U160" s="155">
        <f t="shared" si="12"/>
        <v>0</v>
      </c>
      <c r="V160" s="155">
        <f t="shared" si="12"/>
        <v>0</v>
      </c>
      <c r="W160" s="155">
        <f t="shared" si="12"/>
        <v>270209</v>
      </c>
      <c r="X160" s="5"/>
      <c r="Y160" s="155">
        <f>+Y158-Y159</f>
        <v>0</v>
      </c>
      <c r="Z160" s="5"/>
      <c r="AA160" s="155">
        <f>+AA158-AA159</f>
        <v>4699185.8900000006</v>
      </c>
    </row>
    <row r="161" spans="1:27" s="1" customFormat="1" x14ac:dyDescent="0.25">
      <c r="A161" s="7"/>
      <c r="B161" s="92"/>
      <c r="C161" s="92"/>
      <c r="D161" s="234"/>
      <c r="E161" s="338"/>
      <c r="F161" s="92"/>
      <c r="G161" s="5"/>
      <c r="H161" s="5"/>
      <c r="J161" s="5"/>
      <c r="K161" s="5"/>
      <c r="L161" s="5"/>
      <c r="M161" s="5"/>
      <c r="N161" s="5"/>
      <c r="O161" s="102"/>
      <c r="P161" s="5"/>
      <c r="Q161" s="5"/>
      <c r="R161" s="5"/>
      <c r="S161" s="65"/>
      <c r="W161"/>
      <c r="X161" s="5"/>
      <c r="Y161" s="5"/>
      <c r="Z161" s="5"/>
      <c r="AA161" s="5"/>
    </row>
    <row r="162" spans="1:27" x14ac:dyDescent="0.25">
      <c r="G162" s="156" t="s">
        <v>79</v>
      </c>
      <c r="L162" s="156"/>
      <c r="O162" s="102"/>
      <c r="R162" s="5"/>
      <c r="S162" s="65"/>
      <c r="Y162" s="5"/>
    </row>
    <row r="163" spans="1:27" x14ac:dyDescent="0.25">
      <c r="F163" s="531" t="s">
        <v>139</v>
      </c>
      <c r="G163" s="531"/>
      <c r="H163" s="157">
        <v>2152447</v>
      </c>
      <c r="J163" s="157">
        <f>(4480+500541)-4000+60</f>
        <v>501081</v>
      </c>
      <c r="M163" s="157">
        <v>6036862.7000000002</v>
      </c>
      <c r="O163" s="157">
        <v>2183642</v>
      </c>
      <c r="Q163" s="157">
        <v>118638</v>
      </c>
      <c r="R163" s="157">
        <f>12269640+2453928+2453928+6134820</f>
        <v>23312316</v>
      </c>
      <c r="S163" s="65">
        <v>0</v>
      </c>
      <c r="T163" s="5">
        <f>12269640+1448316</f>
        <v>13717956</v>
      </c>
      <c r="U163" s="5">
        <f>2453928-1448316</f>
        <v>1005612</v>
      </c>
      <c r="V163" s="5">
        <v>2453928</v>
      </c>
      <c r="W163" s="5">
        <v>6134820</v>
      </c>
      <c r="Y163" s="157">
        <f>445688.25</f>
        <v>445688.25</v>
      </c>
      <c r="AA163" s="157">
        <v>120126</v>
      </c>
    </row>
    <row r="164" spans="1:27" x14ac:dyDescent="0.25">
      <c r="F164" s="531" t="s">
        <v>140</v>
      </c>
      <c r="G164" s="531"/>
      <c r="H164" s="5">
        <f>+H35</f>
        <v>2120243.5300000003</v>
      </c>
      <c r="J164" s="5">
        <f>+I35+J35+K35</f>
        <v>444161.45</v>
      </c>
      <c r="M164" s="5">
        <f>N149</f>
        <v>4498587.45</v>
      </c>
      <c r="O164" s="5">
        <f>+O35</f>
        <v>2183642</v>
      </c>
      <c r="Q164" s="5">
        <f>+P35+Q35</f>
        <v>118602.42</v>
      </c>
      <c r="R164" s="5">
        <f>+R35+S35+T35+U35+V35+W35</f>
        <v>22685204.66</v>
      </c>
      <c r="S164" s="279">
        <f>R35</f>
        <v>0</v>
      </c>
      <c r="T164" s="279">
        <f>T35</f>
        <v>13717956</v>
      </c>
      <c r="U164" s="279">
        <f>U35</f>
        <v>1005612</v>
      </c>
      <c r="V164" s="279">
        <f>V35</f>
        <v>2453928</v>
      </c>
      <c r="W164" s="279">
        <f>W35</f>
        <v>5507708.6600000001</v>
      </c>
      <c r="Y164" s="5">
        <f>+X35+Y35</f>
        <v>445688</v>
      </c>
      <c r="AA164" s="5">
        <f>+Z35+AA35</f>
        <v>120126</v>
      </c>
    </row>
    <row r="165" spans="1:27" x14ac:dyDescent="0.25">
      <c r="G165" s="5" t="s">
        <v>141</v>
      </c>
      <c r="H165" s="155">
        <f>+H163-H164</f>
        <v>32203.469999999739</v>
      </c>
      <c r="J165" s="155">
        <f>+J163-J164</f>
        <v>56919.549999999988</v>
      </c>
      <c r="M165" s="155">
        <f>+M163-M164</f>
        <v>1538275.25</v>
      </c>
      <c r="O165" s="155">
        <f>+O163-O164</f>
        <v>0</v>
      </c>
      <c r="Q165" s="155">
        <f t="shared" ref="Q165:W165" si="13">+Q163-Q164</f>
        <v>35.580000000001746</v>
      </c>
      <c r="R165" s="155">
        <f t="shared" si="13"/>
        <v>627111.33999999985</v>
      </c>
      <c r="S165" s="155">
        <f t="shared" si="13"/>
        <v>0</v>
      </c>
      <c r="T165" s="155">
        <f t="shared" si="13"/>
        <v>0</v>
      </c>
      <c r="U165" s="155">
        <f t="shared" si="13"/>
        <v>0</v>
      </c>
      <c r="V165" s="155">
        <f t="shared" si="13"/>
        <v>0</v>
      </c>
      <c r="W165" s="155">
        <f t="shared" si="13"/>
        <v>627111.33999999985</v>
      </c>
      <c r="Y165" s="155">
        <f>+Y163-Y164</f>
        <v>0.25</v>
      </c>
      <c r="AA165" s="155">
        <f>+AA163-AA164</f>
        <v>0</v>
      </c>
    </row>
    <row r="166" spans="1:27" x14ac:dyDescent="0.25">
      <c r="Y166" s="5"/>
    </row>
    <row r="167" spans="1:27" x14ac:dyDescent="0.25">
      <c r="Q167" s="5">
        <f>Q165-35.58</f>
        <v>1.7479351299698465E-12</v>
      </c>
      <c r="Y167" s="5"/>
    </row>
    <row r="168" spans="1:27" x14ac:dyDescent="0.25">
      <c r="F168" s="503" t="s">
        <v>138</v>
      </c>
      <c r="G168" s="503"/>
      <c r="Y168" s="5"/>
    </row>
    <row r="169" spans="1:27" s="1" customFormat="1" x14ac:dyDescent="0.25">
      <c r="A169" s="7"/>
      <c r="B169" s="10"/>
      <c r="C169" s="10"/>
      <c r="D169" s="4"/>
      <c r="E169" s="317"/>
      <c r="G169" s="10" t="s">
        <v>78</v>
      </c>
      <c r="H169" s="5">
        <f>(H32+H33)-'Form 11''s Entry'!C37-'Prior Yr Expenses Entry'!C37</f>
        <v>0</v>
      </c>
      <c r="I169" s="5">
        <f>(I32+I33)-'Form 11''s Entry'!D37-'Prior Yr Expenses Entry'!D37</f>
        <v>0</v>
      </c>
      <c r="J169" s="5">
        <f>(J32+J33)-'Form 11''s Entry'!E37-'Prior Yr Expenses Entry'!E37</f>
        <v>0</v>
      </c>
      <c r="K169" s="5">
        <f>(K32+K33)-'Form 11''s Entry'!F37-'Prior Yr Expenses Entry'!F37</f>
        <v>0</v>
      </c>
      <c r="L169" s="5">
        <f>(L32+L33)-'Form 11''s Entry'!G37-'Prior Yr Expenses Entry'!G37</f>
        <v>0</v>
      </c>
      <c r="M169" s="5">
        <f>(M32+M33)-'Form 11''s Entry'!H37-'Prior Yr Expenses Entry'!H37</f>
        <v>0</v>
      </c>
      <c r="N169" s="5"/>
      <c r="O169" s="5">
        <f>(O32+O33)-'Form 11''s Entry'!J37-'Prior Yr Expenses Entry'!J37</f>
        <v>0</v>
      </c>
      <c r="P169" s="5">
        <f>(P32+P33)-'Form 11''s Entry'!K37-'Prior Yr Expenses Entry'!K37</f>
        <v>0</v>
      </c>
      <c r="Q169" s="5">
        <f>(Q32+Q33)-'Form 11''s Entry'!L37-'Prior Yr Expenses Entry'!L37</f>
        <v>0</v>
      </c>
      <c r="R169" s="5">
        <f>(R32+R33)-'Form 11''s Entry'!M37-'Prior Yr Expenses Entry'!M37</f>
        <v>0</v>
      </c>
      <c r="S169" s="5">
        <f>(S32+S33)-'Form 11''s Entry'!N37-'Prior Yr Expenses Entry'!N37</f>
        <v>0</v>
      </c>
      <c r="T169" s="5">
        <f>(T32+T33)-'Form 11''s Entry'!O37-'Prior Yr Expenses Entry'!O37</f>
        <v>0</v>
      </c>
      <c r="U169" s="5">
        <f>(U32+U33)-'Form 11''s Entry'!P37-'Prior Yr Expenses Entry'!P37</f>
        <v>0</v>
      </c>
      <c r="V169" s="5">
        <f>(V32+V33)-'Form 11''s Entry'!Q37-'Prior Yr Expenses Entry'!Q37</f>
        <v>0</v>
      </c>
      <c r="W169" s="5">
        <f>(W32+W33)-'Form 11''s Entry'!R37-'Prior Yr Expenses Entry'!R37</f>
        <v>0</v>
      </c>
      <c r="X169" s="5">
        <f>(X32+X33)-'Form 11''s Entry'!S37-'Prior Yr Expenses Entry'!S37</f>
        <v>0</v>
      </c>
      <c r="Y169" s="5">
        <f>(Y32+Y33)-'Form 11''s Entry'!T37-'Prior Yr Expenses Entry'!T37</f>
        <v>0</v>
      </c>
      <c r="Z169" s="5">
        <f>(Z32+Z33)-'Form 11''s Entry'!U37-'Prior Yr Expenses Entry'!U37</f>
        <v>0</v>
      </c>
      <c r="AA169" s="5">
        <f>(AA32+AA33)-'Form 11''s Entry'!V37-'Prior Yr Expenses Entry'!V37</f>
        <v>0</v>
      </c>
    </row>
    <row r="170" spans="1:27" x14ac:dyDescent="0.25">
      <c r="G170" s="10" t="s">
        <v>79</v>
      </c>
      <c r="H170" s="5">
        <f>H35-'Form 11''s Entry'!C42-'Prior Yr Expenses Entry'!C42</f>
        <v>0</v>
      </c>
      <c r="I170" s="5">
        <f>I35-'Form 11''s Entry'!D42-'Prior Yr Expenses Entry'!D42</f>
        <v>0</v>
      </c>
      <c r="J170" s="5">
        <f>J35-'Form 11''s Entry'!E42-'Prior Yr Expenses Entry'!E42</f>
        <v>0</v>
      </c>
      <c r="K170" s="5">
        <f>K35-'Form 11''s Entry'!F42-'Prior Yr Expenses Entry'!F42</f>
        <v>0</v>
      </c>
      <c r="L170" s="5">
        <f>L35-'Form 11''s Entry'!G42-'Prior Yr Expenses Entry'!G42</f>
        <v>0</v>
      </c>
      <c r="M170" s="5">
        <f>N35-'Form 11''s Entry'!I42-'Prior Yr Expenses Entry'!I42</f>
        <v>0</v>
      </c>
      <c r="O170" s="5">
        <f>O35-'Form 11''s Entry'!J42-'Prior Yr Expenses Entry'!J42</f>
        <v>0</v>
      </c>
      <c r="P170" s="5">
        <f>P35-'Form 11''s Entry'!K42-'Prior Yr Expenses Entry'!K42</f>
        <v>0</v>
      </c>
      <c r="Q170" s="5">
        <f>Q35-'Form 11''s Entry'!L42-'Prior Yr Expenses Entry'!L42</f>
        <v>0</v>
      </c>
      <c r="R170" s="5">
        <f>R35-'Form 11''s Entry'!M42-'Prior Yr Expenses Entry'!M42</f>
        <v>0</v>
      </c>
      <c r="S170" s="5">
        <f>S35-'Form 11''s Entry'!N42-'Prior Yr Expenses Entry'!N42</f>
        <v>0</v>
      </c>
      <c r="T170" s="5">
        <f>T35-'Form 11''s Entry'!O42-'Prior Yr Expenses Entry'!O42</f>
        <v>2.9103830456733704E-10</v>
      </c>
      <c r="U170" s="5">
        <f>U35-'Form 11''s Entry'!P42-'Prior Yr Expenses Entry'!P42</f>
        <v>0</v>
      </c>
      <c r="V170" s="5">
        <f>V35-'Form 11''s Entry'!Q42-'Prior Yr Expenses Entry'!Q42</f>
        <v>0</v>
      </c>
      <c r="W170" s="5">
        <f>W35-'Form 11''s Entry'!R42-'Prior Yr Expenses Entry'!R42</f>
        <v>0</v>
      </c>
      <c r="X170" s="5">
        <f>X35-'Form 11''s Entry'!S42-'Prior Yr Expenses Entry'!S42</f>
        <v>0</v>
      </c>
      <c r="Y170" s="5">
        <f>Y35-'Form 11''s Entry'!T42-'Prior Yr Expenses Entry'!T42</f>
        <v>0</v>
      </c>
      <c r="Z170" s="5">
        <f>Z35-'Form 11''s Entry'!U42-'Prior Yr Expenses Entry'!U42</f>
        <v>0</v>
      </c>
      <c r="AA170" s="5">
        <f>AA35-'Form 11''s Entry'!V42-'Prior Yr Expenses Entry'!V42</f>
        <v>0</v>
      </c>
    </row>
    <row r="171" spans="1:27" x14ac:dyDescent="0.25">
      <c r="G171" s="10"/>
      <c r="O171" s="295"/>
    </row>
  </sheetData>
  <mergeCells count="50">
    <mergeCell ref="F158:G158"/>
    <mergeCell ref="F159:G159"/>
    <mergeCell ref="F163:G163"/>
    <mergeCell ref="F164:G164"/>
    <mergeCell ref="X7:Y7"/>
    <mergeCell ref="X8:Y8"/>
    <mergeCell ref="F156:G156"/>
    <mergeCell ref="X2:Y2"/>
    <mergeCell ref="X3:Y3"/>
    <mergeCell ref="X5:Y5"/>
    <mergeCell ref="X4:Y4"/>
    <mergeCell ref="X6:Y6"/>
    <mergeCell ref="R4:W4"/>
    <mergeCell ref="I7:K7"/>
    <mergeCell ref="P7:Q7"/>
    <mergeCell ref="L7:N7"/>
    <mergeCell ref="R7:W7"/>
    <mergeCell ref="I4:K4"/>
    <mergeCell ref="L3:N3"/>
    <mergeCell ref="R3:W3"/>
    <mergeCell ref="I8:K8"/>
    <mergeCell ref="P8:Q8"/>
    <mergeCell ref="L8:N8"/>
    <mergeCell ref="R8:W8"/>
    <mergeCell ref="I5:K5"/>
    <mergeCell ref="P5:Q5"/>
    <mergeCell ref="L5:N5"/>
    <mergeCell ref="R5:W5"/>
    <mergeCell ref="I6:K6"/>
    <mergeCell ref="P6:Q6"/>
    <mergeCell ref="L6:N6"/>
    <mergeCell ref="R6:W6"/>
    <mergeCell ref="P4:Q4"/>
    <mergeCell ref="L4:N4"/>
    <mergeCell ref="F168:G168"/>
    <mergeCell ref="Z6:AA6"/>
    <mergeCell ref="Z7:AA7"/>
    <mergeCell ref="Z8:AA8"/>
    <mergeCell ref="Z1:AA1"/>
    <mergeCell ref="Z2:AA2"/>
    <mergeCell ref="Z3:AA3"/>
    <mergeCell ref="Z4:AA4"/>
    <mergeCell ref="Z5:AA5"/>
    <mergeCell ref="P1:Q1"/>
    <mergeCell ref="I2:K2"/>
    <mergeCell ref="P2:Q2"/>
    <mergeCell ref="L2:N2"/>
    <mergeCell ref="R2:W2"/>
    <mergeCell ref="I3:K3"/>
    <mergeCell ref="P3:Q3"/>
  </mergeCells>
  <pageMargins left="0.7" right="0.7" top="0.75" bottom="0.75" header="0.3" footer="0.3"/>
  <pageSetup scale="3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CFF"/>
    <pageSetUpPr fitToPage="1"/>
  </sheetPr>
  <dimension ref="A1:Q56"/>
  <sheetViews>
    <sheetView zoomScaleNormal="100" workbookViewId="0">
      <pane ySplit="3" topLeftCell="A4" activePane="bottomLeft" state="frozen"/>
      <selection pane="bottomLeft" activeCell="A11" sqref="A11"/>
    </sheetView>
  </sheetViews>
  <sheetFormatPr defaultColWidth="9.140625" defaultRowHeight="15" x14ac:dyDescent="0.25"/>
  <cols>
    <col min="1" max="1" width="24.5703125" style="242" bestFit="1" customWidth="1"/>
    <col min="2" max="2" width="24.5703125" style="242" customWidth="1"/>
    <col min="3" max="3" width="11" style="242" bestFit="1" customWidth="1"/>
    <col min="4" max="4" width="11.42578125" style="242" bestFit="1" customWidth="1"/>
    <col min="5" max="6" width="11.42578125" style="242" customWidth="1"/>
    <col min="7" max="12" width="9.140625" style="242"/>
    <col min="13" max="13" width="14.140625" style="242" bestFit="1" customWidth="1"/>
    <col min="14" max="14" width="11.5703125" style="242" bestFit="1" customWidth="1"/>
    <col min="15" max="16384" width="9.140625" style="242"/>
  </cols>
  <sheetData>
    <row r="1" spans="1:17" s="258" customFormat="1" ht="12" x14ac:dyDescent="0.2">
      <c r="E1" s="259" t="s">
        <v>182</v>
      </c>
      <c r="F1" s="259" t="s">
        <v>171</v>
      </c>
      <c r="G1" s="259" t="s">
        <v>181</v>
      </c>
      <c r="H1" s="259" t="s">
        <v>181</v>
      </c>
      <c r="I1" s="259" t="s">
        <v>180</v>
      </c>
      <c r="J1" s="259" t="s">
        <v>180</v>
      </c>
      <c r="K1" s="259" t="s">
        <v>180</v>
      </c>
      <c r="L1" s="259" t="s">
        <v>179</v>
      </c>
      <c r="M1" s="259" t="s">
        <v>179</v>
      </c>
      <c r="N1" s="259" t="s">
        <v>179</v>
      </c>
    </row>
    <row r="2" spans="1:17" x14ac:dyDescent="0.25">
      <c r="E2" s="243" t="s">
        <v>178</v>
      </c>
      <c r="F2" s="257" t="s">
        <v>177</v>
      </c>
      <c r="G2" s="257" t="s">
        <v>0</v>
      </c>
      <c r="H2" s="257" t="s">
        <v>1</v>
      </c>
      <c r="I2" s="257" t="s">
        <v>3</v>
      </c>
      <c r="J2" s="257" t="s">
        <v>2</v>
      </c>
      <c r="K2" s="257" t="s">
        <v>126</v>
      </c>
      <c r="L2" s="257" t="s">
        <v>128</v>
      </c>
      <c r="M2" s="257" t="s">
        <v>242</v>
      </c>
      <c r="N2" s="257" t="s">
        <v>268</v>
      </c>
    </row>
    <row r="3" spans="1:17" x14ac:dyDescent="0.25">
      <c r="A3" s="256" t="s">
        <v>176</v>
      </c>
      <c r="B3" s="256" t="s">
        <v>175</v>
      </c>
      <c r="C3" s="256" t="s">
        <v>174</v>
      </c>
      <c r="D3" s="256" t="s">
        <v>173</v>
      </c>
      <c r="E3" s="256" t="s">
        <v>172</v>
      </c>
      <c r="F3" s="256" t="s">
        <v>171</v>
      </c>
      <c r="G3" s="256">
        <v>1912</v>
      </c>
      <c r="H3" s="256">
        <v>1913</v>
      </c>
      <c r="I3" s="256">
        <v>1958</v>
      </c>
      <c r="J3" s="256">
        <v>1959</v>
      </c>
      <c r="K3" s="256">
        <v>1970</v>
      </c>
      <c r="L3" s="256">
        <v>2437</v>
      </c>
      <c r="M3" s="256">
        <v>2492</v>
      </c>
      <c r="N3" s="256">
        <v>2499</v>
      </c>
      <c r="O3" s="256" t="s">
        <v>170</v>
      </c>
      <c r="P3" s="243" t="s">
        <v>169</v>
      </c>
    </row>
    <row r="4" spans="1:17" x14ac:dyDescent="0.25">
      <c r="A4" s="380" t="s">
        <v>363</v>
      </c>
      <c r="B4" s="260" t="s">
        <v>183</v>
      </c>
      <c r="C4" s="260" t="s">
        <v>325</v>
      </c>
      <c r="D4" s="260">
        <v>2437</v>
      </c>
      <c r="E4" s="243" t="s">
        <v>159</v>
      </c>
      <c r="F4" s="249" t="s">
        <v>69</v>
      </c>
      <c r="G4" s="381">
        <v>0.13</v>
      </c>
      <c r="H4" s="382">
        <v>0.1</v>
      </c>
      <c r="I4" s="383">
        <v>0.25</v>
      </c>
      <c r="J4" s="382">
        <v>0.12</v>
      </c>
      <c r="K4" s="383">
        <v>0.1</v>
      </c>
      <c r="L4" s="277">
        <v>0.25</v>
      </c>
      <c r="M4" s="274">
        <v>0</v>
      </c>
      <c r="N4" s="277">
        <v>0.05</v>
      </c>
      <c r="O4" s="245">
        <f>SUM(F4:N4)</f>
        <v>1</v>
      </c>
      <c r="P4" s="244">
        <f>100%-O4</f>
        <v>0</v>
      </c>
      <c r="Q4" s="384" t="s">
        <v>284</v>
      </c>
    </row>
    <row r="5" spans="1:17" x14ac:dyDescent="0.25">
      <c r="B5" s="243"/>
      <c r="C5" s="243"/>
      <c r="D5" s="243"/>
      <c r="E5" s="243" t="s">
        <v>158</v>
      </c>
      <c r="F5" s="249" t="s">
        <v>69</v>
      </c>
      <c r="G5" s="385" t="s">
        <v>69</v>
      </c>
      <c r="H5" s="386" t="s">
        <v>69</v>
      </c>
      <c r="I5" s="383">
        <v>0.3</v>
      </c>
      <c r="J5" s="382">
        <v>0.25</v>
      </c>
      <c r="K5" s="383">
        <v>0.1</v>
      </c>
      <c r="L5" s="277">
        <v>0.3</v>
      </c>
      <c r="M5" s="274">
        <v>0</v>
      </c>
      <c r="N5" s="277">
        <v>0.05</v>
      </c>
      <c r="O5" s="245">
        <f>SUM(F5:N5)</f>
        <v>1</v>
      </c>
      <c r="P5" s="244">
        <f>100%-O5</f>
        <v>0</v>
      </c>
      <c r="Q5" s="242" t="s">
        <v>197</v>
      </c>
    </row>
    <row r="6" spans="1:17" x14ac:dyDescent="0.25">
      <c r="B6" s="243"/>
      <c r="C6" s="243"/>
      <c r="D6" s="243"/>
      <c r="E6" s="243" t="s">
        <v>157</v>
      </c>
      <c r="F6" s="249" t="s">
        <v>69</v>
      </c>
      <c r="G6" s="385" t="s">
        <v>69</v>
      </c>
      <c r="H6" s="386" t="s">
        <v>69</v>
      </c>
      <c r="I6" s="383">
        <v>0.3</v>
      </c>
      <c r="J6" s="382">
        <v>0.25</v>
      </c>
      <c r="K6" s="383">
        <v>0.1</v>
      </c>
      <c r="L6" s="277">
        <v>0.3</v>
      </c>
      <c r="M6" s="274">
        <v>0</v>
      </c>
      <c r="N6" s="277">
        <v>0.05</v>
      </c>
      <c r="O6" s="245">
        <f>SUM(F6:N6)</f>
        <v>1</v>
      </c>
      <c r="P6" s="244">
        <f>100%-O6</f>
        <v>0</v>
      </c>
      <c r="Q6" s="242" t="s">
        <v>259</v>
      </c>
    </row>
    <row r="7" spans="1:17" x14ac:dyDescent="0.25">
      <c r="B7" s="243"/>
      <c r="C7" s="243"/>
      <c r="D7" s="243"/>
      <c r="E7" s="243" t="s">
        <v>156</v>
      </c>
      <c r="F7" s="249" t="s">
        <v>69</v>
      </c>
      <c r="G7" s="385" t="s">
        <v>69</v>
      </c>
      <c r="H7" s="386" t="s">
        <v>69</v>
      </c>
      <c r="I7" s="383" t="s">
        <v>69</v>
      </c>
      <c r="J7" s="386"/>
      <c r="K7" s="387"/>
      <c r="L7" s="277">
        <v>0.95</v>
      </c>
      <c r="M7" s="274">
        <v>0</v>
      </c>
      <c r="N7" s="277">
        <v>0.05</v>
      </c>
      <c r="O7" s="245">
        <f>SUM(F7:N7)</f>
        <v>1</v>
      </c>
      <c r="P7" s="244">
        <f>100%-O7</f>
        <v>0</v>
      </c>
      <c r="Q7" s="242" t="s">
        <v>357</v>
      </c>
    </row>
    <row r="8" spans="1:17" x14ac:dyDescent="0.25">
      <c r="B8" s="243"/>
      <c r="C8" s="243"/>
      <c r="D8" s="243"/>
      <c r="E8" s="243" t="s">
        <v>300</v>
      </c>
      <c r="F8" s="249" t="s">
        <v>69</v>
      </c>
      <c r="G8" s="385" t="s">
        <v>69</v>
      </c>
      <c r="H8" s="386" t="s">
        <v>69</v>
      </c>
      <c r="I8" s="383" t="s">
        <v>69</v>
      </c>
      <c r="J8" s="386"/>
      <c r="K8" s="387"/>
      <c r="L8" s="277">
        <v>0.95</v>
      </c>
      <c r="M8" s="274">
        <v>0</v>
      </c>
      <c r="N8" s="277">
        <v>0.05</v>
      </c>
      <c r="O8" s="245">
        <f>SUM(F8:N8)</f>
        <v>1</v>
      </c>
      <c r="P8" s="244">
        <f>100%-O8</f>
        <v>0</v>
      </c>
      <c r="Q8" s="242" t="s">
        <v>364</v>
      </c>
    </row>
    <row r="9" spans="1:17" ht="9" customHeight="1" x14ac:dyDescent="0.25">
      <c r="B9" s="243"/>
      <c r="C9" s="243"/>
      <c r="D9" s="243"/>
      <c r="E9" s="243"/>
      <c r="F9" s="249"/>
      <c r="G9" s="248"/>
      <c r="H9" s="247"/>
      <c r="I9" s="246"/>
      <c r="J9" s="247"/>
      <c r="K9" s="246"/>
      <c r="L9" s="277"/>
      <c r="M9" s="276"/>
      <c r="N9" s="276"/>
      <c r="O9" s="245"/>
    </row>
    <row r="10" spans="1:17" x14ac:dyDescent="0.25">
      <c r="A10" s="388" t="s">
        <v>395</v>
      </c>
      <c r="B10" s="262" t="s">
        <v>381</v>
      </c>
      <c r="C10" s="262">
        <v>13192</v>
      </c>
      <c r="D10" s="262">
        <v>6401</v>
      </c>
      <c r="E10" s="243" t="s">
        <v>159</v>
      </c>
      <c r="F10" s="249" t="s">
        <v>69</v>
      </c>
      <c r="G10" s="381">
        <v>0.2</v>
      </c>
      <c r="H10" s="247">
        <v>0.2</v>
      </c>
      <c r="I10" s="383">
        <v>0.1</v>
      </c>
      <c r="J10" s="382">
        <v>0.1</v>
      </c>
      <c r="K10" s="383">
        <v>0.1</v>
      </c>
      <c r="L10" s="277">
        <v>0.1</v>
      </c>
      <c r="M10" s="274">
        <v>0</v>
      </c>
      <c r="N10" s="277">
        <v>0.2</v>
      </c>
      <c r="O10" s="245">
        <f>SUM(F10:N10)</f>
        <v>1</v>
      </c>
      <c r="P10" s="244">
        <f>100%-O10</f>
        <v>0</v>
      </c>
      <c r="Q10" s="263" t="s">
        <v>407</v>
      </c>
    </row>
    <row r="11" spans="1:17" x14ac:dyDescent="0.25">
      <c r="A11" s="389"/>
      <c r="B11" s="243"/>
      <c r="D11" s="243"/>
      <c r="E11" s="243" t="s">
        <v>158</v>
      </c>
      <c r="F11" s="249" t="s">
        <v>69</v>
      </c>
      <c r="G11" s="381" t="s">
        <v>69</v>
      </c>
      <c r="H11" s="247" t="s">
        <v>69</v>
      </c>
      <c r="I11" s="383">
        <v>0.2</v>
      </c>
      <c r="J11" s="382">
        <v>0.2</v>
      </c>
      <c r="K11" s="383">
        <v>0.1</v>
      </c>
      <c r="L11" s="277">
        <v>0.3</v>
      </c>
      <c r="M11" s="274">
        <v>0</v>
      </c>
      <c r="N11" s="277">
        <v>0.2</v>
      </c>
      <c r="O11" s="245">
        <f>SUM(F11:N11)</f>
        <v>1</v>
      </c>
      <c r="P11" s="244">
        <f>100%-O11</f>
        <v>0</v>
      </c>
    </row>
    <row r="12" spans="1:17" x14ac:dyDescent="0.25">
      <c r="A12" s="389"/>
      <c r="B12" s="243"/>
      <c r="D12" s="243">
        <v>2437</v>
      </c>
      <c r="E12" s="243" t="s">
        <v>157</v>
      </c>
      <c r="F12" s="249" t="s">
        <v>69</v>
      </c>
      <c r="G12" s="381" t="s">
        <v>69</v>
      </c>
      <c r="H12" s="247" t="s">
        <v>69</v>
      </c>
      <c r="I12" s="383">
        <v>0.2</v>
      </c>
      <c r="J12" s="382">
        <v>0.2</v>
      </c>
      <c r="K12" s="383">
        <v>0.1</v>
      </c>
      <c r="L12" s="277">
        <v>0.3</v>
      </c>
      <c r="M12" s="274">
        <v>0</v>
      </c>
      <c r="N12" s="277">
        <v>0.2</v>
      </c>
      <c r="O12" s="245">
        <f>SUM(F12:N12)</f>
        <v>1</v>
      </c>
      <c r="P12" s="244">
        <f>100%-O12</f>
        <v>0</v>
      </c>
    </row>
    <row r="13" spans="1:17" x14ac:dyDescent="0.25">
      <c r="D13" s="243"/>
      <c r="E13" s="243" t="s">
        <v>156</v>
      </c>
      <c r="F13" s="249" t="s">
        <v>69</v>
      </c>
      <c r="G13" s="381" t="s">
        <v>69</v>
      </c>
      <c r="H13" s="247" t="s">
        <v>69</v>
      </c>
      <c r="I13" s="383" t="s">
        <v>69</v>
      </c>
      <c r="J13" s="382" t="s">
        <v>69</v>
      </c>
      <c r="K13" s="383" t="s">
        <v>69</v>
      </c>
      <c r="L13" s="277">
        <v>0.75</v>
      </c>
      <c r="M13" s="274">
        <v>0</v>
      </c>
      <c r="N13" s="277">
        <v>0.25</v>
      </c>
      <c r="O13" s="245">
        <f>SUM(F13:N13)</f>
        <v>1</v>
      </c>
      <c r="P13" s="244">
        <f>100%-O13</f>
        <v>0</v>
      </c>
    </row>
    <row r="14" spans="1:17" x14ac:dyDescent="0.25">
      <c r="E14" s="243" t="s">
        <v>300</v>
      </c>
      <c r="F14" s="249" t="s">
        <v>69</v>
      </c>
      <c r="G14" s="248" t="s">
        <v>69</v>
      </c>
      <c r="H14" s="247" t="s">
        <v>69</v>
      </c>
      <c r="I14" s="383" t="s">
        <v>69</v>
      </c>
      <c r="J14" s="382" t="s">
        <v>69</v>
      </c>
      <c r="K14" s="383" t="s">
        <v>69</v>
      </c>
      <c r="L14" s="277">
        <v>0.75</v>
      </c>
      <c r="M14" s="274">
        <v>0</v>
      </c>
      <c r="N14" s="277">
        <v>0.25</v>
      </c>
      <c r="O14" s="245">
        <f>SUM(F14:N14)</f>
        <v>1</v>
      </c>
      <c r="P14" s="244">
        <f>100%-O14</f>
        <v>0</v>
      </c>
    </row>
    <row r="15" spans="1:17" ht="9" customHeight="1" x14ac:dyDescent="0.25">
      <c r="B15" s="243"/>
      <c r="C15" s="243"/>
      <c r="D15" s="243"/>
      <c r="E15" s="243"/>
      <c r="F15" s="249"/>
      <c r="G15" s="248"/>
      <c r="H15" s="247"/>
      <c r="I15" s="246"/>
      <c r="J15" s="247"/>
      <c r="K15" s="246"/>
      <c r="L15" s="251"/>
      <c r="M15" s="251"/>
      <c r="N15" s="251"/>
      <c r="O15" s="245"/>
    </row>
    <row r="16" spans="1:17" x14ac:dyDescent="0.25">
      <c r="A16" s="390" t="s">
        <v>294</v>
      </c>
      <c r="B16" s="261" t="s">
        <v>185</v>
      </c>
      <c r="C16" s="261" t="s">
        <v>250</v>
      </c>
      <c r="D16" s="261">
        <v>2437</v>
      </c>
      <c r="E16" s="243" t="s">
        <v>159</v>
      </c>
      <c r="F16" s="249" t="s">
        <v>69</v>
      </c>
      <c r="G16" s="248" t="s">
        <v>69</v>
      </c>
      <c r="H16" s="247">
        <v>0.2</v>
      </c>
      <c r="I16" s="247">
        <v>0.4</v>
      </c>
      <c r="J16" s="247" t="s">
        <v>69</v>
      </c>
      <c r="K16" s="383" t="s">
        <v>69</v>
      </c>
      <c r="L16" s="277">
        <v>0.4</v>
      </c>
      <c r="M16" s="274">
        <v>0</v>
      </c>
      <c r="N16" s="251" t="s">
        <v>69</v>
      </c>
      <c r="O16" s="391">
        <f>SUM(F16:N16)</f>
        <v>1</v>
      </c>
      <c r="P16" s="244">
        <f>100%-O16</f>
        <v>0</v>
      </c>
      <c r="Q16" s="242" t="s">
        <v>196</v>
      </c>
    </row>
    <row r="17" spans="1:17" x14ac:dyDescent="0.25">
      <c r="A17" s="392"/>
      <c r="B17" s="243"/>
      <c r="D17" s="243"/>
      <c r="E17" s="243" t="s">
        <v>158</v>
      </c>
      <c r="F17" s="249" t="s">
        <v>69</v>
      </c>
      <c r="G17" s="248" t="s">
        <v>69</v>
      </c>
      <c r="H17" s="247" t="s">
        <v>69</v>
      </c>
      <c r="I17" s="247">
        <v>0.5</v>
      </c>
      <c r="J17" s="247" t="s">
        <v>69</v>
      </c>
      <c r="K17" s="383" t="s">
        <v>69</v>
      </c>
      <c r="L17" s="277">
        <v>0.5</v>
      </c>
      <c r="M17" s="274">
        <v>0</v>
      </c>
      <c r="N17" s="251" t="s">
        <v>69</v>
      </c>
      <c r="O17" s="391">
        <f>SUM(F17:N17)</f>
        <v>1</v>
      </c>
      <c r="P17" s="244">
        <f>100%-O17</f>
        <v>0</v>
      </c>
      <c r="Q17" s="242" t="s">
        <v>238</v>
      </c>
    </row>
    <row r="18" spans="1:17" x14ac:dyDescent="0.25">
      <c r="B18" s="243"/>
      <c r="D18" s="243"/>
      <c r="E18" s="243" t="s">
        <v>157</v>
      </c>
      <c r="F18" s="249" t="s">
        <v>69</v>
      </c>
      <c r="G18" s="248" t="s">
        <v>69</v>
      </c>
      <c r="H18" s="247" t="s">
        <v>69</v>
      </c>
      <c r="I18" s="247">
        <v>0.5</v>
      </c>
      <c r="J18" s="247" t="s">
        <v>69</v>
      </c>
      <c r="K18" s="383" t="s">
        <v>69</v>
      </c>
      <c r="L18" s="277">
        <v>0.5</v>
      </c>
      <c r="M18" s="274">
        <v>0</v>
      </c>
      <c r="N18" s="251" t="s">
        <v>69</v>
      </c>
      <c r="O18" s="391">
        <f>SUM(F18:N18)</f>
        <v>1</v>
      </c>
      <c r="P18" s="244">
        <f>100%-O18</f>
        <v>0</v>
      </c>
      <c r="Q18" s="242" t="s">
        <v>359</v>
      </c>
    </row>
    <row r="19" spans="1:17" x14ac:dyDescent="0.25">
      <c r="A19" s="392"/>
      <c r="B19" s="243"/>
      <c r="D19" s="243"/>
      <c r="E19" s="243" t="s">
        <v>156</v>
      </c>
      <c r="F19" s="249" t="s">
        <v>69</v>
      </c>
      <c r="G19" s="248" t="s">
        <v>69</v>
      </c>
      <c r="H19" s="247" t="s">
        <v>69</v>
      </c>
      <c r="I19" s="247" t="s">
        <v>69</v>
      </c>
      <c r="J19" s="247" t="s">
        <v>69</v>
      </c>
      <c r="K19" s="383" t="s">
        <v>69</v>
      </c>
      <c r="L19" s="277">
        <v>1</v>
      </c>
      <c r="M19" s="274">
        <v>0</v>
      </c>
      <c r="N19" s="251" t="s">
        <v>69</v>
      </c>
      <c r="O19" s="391">
        <f>SUM(F19:N19)</f>
        <v>1</v>
      </c>
      <c r="P19" s="244">
        <f>100%-O19</f>
        <v>0</v>
      </c>
    </row>
    <row r="20" spans="1:17" x14ac:dyDescent="0.25">
      <c r="D20" s="243"/>
      <c r="E20" s="243" t="s">
        <v>300</v>
      </c>
      <c r="F20" s="249" t="s">
        <v>69</v>
      </c>
      <c r="G20" s="248" t="s">
        <v>69</v>
      </c>
      <c r="H20" s="247" t="s">
        <v>69</v>
      </c>
      <c r="I20" s="247" t="s">
        <v>69</v>
      </c>
      <c r="J20" s="247" t="s">
        <v>69</v>
      </c>
      <c r="K20" s="383" t="s">
        <v>69</v>
      </c>
      <c r="L20" s="277">
        <v>1</v>
      </c>
      <c r="M20" s="274">
        <v>0</v>
      </c>
      <c r="N20" s="251" t="s">
        <v>69</v>
      </c>
      <c r="O20" s="391">
        <f>SUM(F20:N20)</f>
        <v>1</v>
      </c>
      <c r="P20" s="244">
        <f>100%-O20</f>
        <v>0</v>
      </c>
    </row>
    <row r="21" spans="1:17" ht="9" customHeight="1" x14ac:dyDescent="0.25">
      <c r="B21" s="243"/>
      <c r="C21" s="243"/>
      <c r="D21" s="243"/>
      <c r="E21" s="243"/>
      <c r="F21" s="249"/>
      <c r="G21" s="248"/>
      <c r="H21" s="247"/>
      <c r="I21" s="246"/>
      <c r="J21" s="247"/>
      <c r="K21" s="246"/>
      <c r="L21" s="251"/>
      <c r="M21" s="251"/>
      <c r="N21" s="251"/>
      <c r="O21" s="245"/>
    </row>
    <row r="22" spans="1:17" x14ac:dyDescent="0.25">
      <c r="A22" s="393" t="s">
        <v>382</v>
      </c>
      <c r="B22" s="254" t="s">
        <v>186</v>
      </c>
      <c r="C22" s="254" t="s">
        <v>164</v>
      </c>
      <c r="D22" s="254">
        <v>2437</v>
      </c>
      <c r="E22" s="243" t="s">
        <v>159</v>
      </c>
      <c r="F22" s="249" t="s">
        <v>69</v>
      </c>
      <c r="G22" s="248" t="s">
        <v>69</v>
      </c>
      <c r="H22" s="247" t="s">
        <v>69</v>
      </c>
      <c r="I22" s="382">
        <v>0.5</v>
      </c>
      <c r="J22" s="247" t="s">
        <v>69</v>
      </c>
      <c r="K22" s="246" t="s">
        <v>69</v>
      </c>
      <c r="L22" s="277">
        <v>0.5</v>
      </c>
      <c r="M22" s="274">
        <v>0</v>
      </c>
      <c r="N22" s="274">
        <v>0</v>
      </c>
      <c r="O22" s="245">
        <f>SUM(F22:N22)</f>
        <v>1</v>
      </c>
      <c r="P22" s="244">
        <f>100%-O22</f>
        <v>0</v>
      </c>
      <c r="Q22" s="394" t="s">
        <v>358</v>
      </c>
    </row>
    <row r="23" spans="1:17" x14ac:dyDescent="0.25">
      <c r="B23" s="243"/>
      <c r="E23" s="243" t="s">
        <v>158</v>
      </c>
      <c r="F23" s="249" t="s">
        <v>69</v>
      </c>
      <c r="G23" s="248" t="s">
        <v>69</v>
      </c>
      <c r="H23" s="247" t="s">
        <v>69</v>
      </c>
      <c r="I23" s="382">
        <v>0.5</v>
      </c>
      <c r="J23" s="247" t="s">
        <v>69</v>
      </c>
      <c r="K23" s="246" t="s">
        <v>69</v>
      </c>
      <c r="L23" s="277">
        <v>0.5</v>
      </c>
      <c r="M23" s="274">
        <v>0</v>
      </c>
      <c r="N23" s="274">
        <v>0</v>
      </c>
      <c r="O23" s="245">
        <f>SUM(F23:N23)</f>
        <v>1</v>
      </c>
      <c r="P23" s="244">
        <f>100%-O23</f>
        <v>0</v>
      </c>
      <c r="Q23" s="242" t="s">
        <v>238</v>
      </c>
    </row>
    <row r="24" spans="1:17" x14ac:dyDescent="0.25">
      <c r="A24" s="392"/>
      <c r="B24" s="243"/>
      <c r="D24" s="243"/>
      <c r="E24" s="243" t="s">
        <v>157</v>
      </c>
      <c r="F24" s="249" t="s">
        <v>69</v>
      </c>
      <c r="G24" s="248" t="s">
        <v>69</v>
      </c>
      <c r="H24" s="247" t="s">
        <v>69</v>
      </c>
      <c r="I24" s="382">
        <v>0.25</v>
      </c>
      <c r="J24" s="247" t="s">
        <v>69</v>
      </c>
      <c r="K24" s="246" t="s">
        <v>69</v>
      </c>
      <c r="L24" s="277">
        <v>0.75</v>
      </c>
      <c r="M24" s="274">
        <v>0</v>
      </c>
      <c r="N24" s="274">
        <v>0</v>
      </c>
      <c r="O24" s="245">
        <f>SUM(F24:N24)</f>
        <v>1</v>
      </c>
      <c r="P24" s="244">
        <f>100%-O24</f>
        <v>0</v>
      </c>
      <c r="Q24" s="242" t="s">
        <v>252</v>
      </c>
    </row>
    <row r="25" spans="1:17" x14ac:dyDescent="0.25">
      <c r="B25" s="243"/>
      <c r="D25" s="243"/>
      <c r="E25" s="243" t="s">
        <v>156</v>
      </c>
      <c r="F25" s="249" t="s">
        <v>69</v>
      </c>
      <c r="G25" s="248" t="s">
        <v>69</v>
      </c>
      <c r="H25" s="247" t="s">
        <v>69</v>
      </c>
      <c r="I25" s="246" t="s">
        <v>69</v>
      </c>
      <c r="J25" s="247" t="s">
        <v>69</v>
      </c>
      <c r="K25" s="246" t="s">
        <v>69</v>
      </c>
      <c r="L25" s="277">
        <v>1</v>
      </c>
      <c r="M25" s="274">
        <v>0</v>
      </c>
      <c r="N25" s="274">
        <v>0</v>
      </c>
      <c r="O25" s="245">
        <f>SUM(F25:N25)</f>
        <v>1</v>
      </c>
      <c r="P25" s="244">
        <f>100%-O25</f>
        <v>0</v>
      </c>
      <c r="Q25" s="242" t="s">
        <v>264</v>
      </c>
    </row>
    <row r="26" spans="1:17" x14ac:dyDescent="0.25">
      <c r="B26" s="243"/>
      <c r="D26" s="243"/>
      <c r="E26" s="243" t="s">
        <v>300</v>
      </c>
      <c r="F26" s="249" t="s">
        <v>69</v>
      </c>
      <c r="G26" s="248" t="s">
        <v>69</v>
      </c>
      <c r="H26" s="247" t="s">
        <v>69</v>
      </c>
      <c r="I26" s="246" t="s">
        <v>69</v>
      </c>
      <c r="J26" s="247" t="s">
        <v>69</v>
      </c>
      <c r="K26" s="246" t="s">
        <v>69</v>
      </c>
      <c r="L26" s="277">
        <v>1</v>
      </c>
      <c r="M26" s="274">
        <v>0</v>
      </c>
      <c r="N26" s="274">
        <v>0</v>
      </c>
      <c r="O26" s="245">
        <f>SUM(F26:N26)</f>
        <v>1</v>
      </c>
      <c r="P26" s="244">
        <f>100%-O26</f>
        <v>0</v>
      </c>
      <c r="Q26" s="242" t="s">
        <v>282</v>
      </c>
    </row>
    <row r="27" spans="1:17" x14ac:dyDescent="0.25">
      <c r="F27" s="395"/>
      <c r="O27" s="395"/>
      <c r="Q27" s="242" t="s">
        <v>439</v>
      </c>
    </row>
    <row r="28" spans="1:17" ht="9" customHeight="1" x14ac:dyDescent="0.25">
      <c r="F28" s="395"/>
      <c r="O28" s="395"/>
    </row>
    <row r="29" spans="1:17" ht="9" customHeight="1" x14ac:dyDescent="0.25">
      <c r="F29" s="395"/>
      <c r="O29" s="395"/>
    </row>
    <row r="30" spans="1:17" x14ac:dyDescent="0.25">
      <c r="A30" s="396" t="s">
        <v>309</v>
      </c>
      <c r="B30" s="253" t="s">
        <v>163</v>
      </c>
      <c r="C30" s="253" t="s">
        <v>162</v>
      </c>
      <c r="D30" s="243">
        <v>1912</v>
      </c>
      <c r="E30" s="243" t="s">
        <v>159</v>
      </c>
      <c r="F30" s="249" t="s">
        <v>69</v>
      </c>
      <c r="G30" s="248">
        <v>1</v>
      </c>
      <c r="H30" s="247" t="s">
        <v>69</v>
      </c>
      <c r="I30" s="247" t="s">
        <v>69</v>
      </c>
      <c r="J30" s="247" t="s">
        <v>69</v>
      </c>
      <c r="K30" s="246" t="s">
        <v>69</v>
      </c>
      <c r="L30" s="251" t="s">
        <v>69</v>
      </c>
      <c r="M30" s="251" t="s">
        <v>69</v>
      </c>
      <c r="N30" s="251" t="s">
        <v>69</v>
      </c>
      <c r="O30" s="245">
        <f>SUM(F30:N30)</f>
        <v>1</v>
      </c>
      <c r="P30" s="244">
        <f>100%-O30</f>
        <v>0</v>
      </c>
      <c r="Q30" s="263" t="s">
        <v>190</v>
      </c>
    </row>
    <row r="31" spans="1:17" x14ac:dyDescent="0.25">
      <c r="B31" s="243"/>
      <c r="D31" s="243">
        <v>1959</v>
      </c>
      <c r="E31" s="243" t="s">
        <v>158</v>
      </c>
      <c r="F31" s="249" t="s">
        <v>69</v>
      </c>
      <c r="G31" s="248" t="s">
        <v>69</v>
      </c>
      <c r="H31" s="247" t="s">
        <v>69</v>
      </c>
      <c r="I31" s="247" t="s">
        <v>69</v>
      </c>
      <c r="J31" s="247">
        <v>1</v>
      </c>
      <c r="K31" s="246" t="s">
        <v>69</v>
      </c>
      <c r="L31" s="251" t="s">
        <v>69</v>
      </c>
      <c r="M31" s="251" t="s">
        <v>69</v>
      </c>
      <c r="N31" s="251" t="s">
        <v>69</v>
      </c>
      <c r="O31" s="245">
        <f>SUM(F31:N31)</f>
        <v>1</v>
      </c>
      <c r="P31" s="244">
        <f>100%-O31</f>
        <v>0</v>
      </c>
      <c r="Q31" s="263" t="s">
        <v>299</v>
      </c>
    </row>
    <row r="32" spans="1:17" x14ac:dyDescent="0.25">
      <c r="B32" s="243"/>
      <c r="D32" s="243">
        <v>2437</v>
      </c>
      <c r="E32" s="243" t="s">
        <v>157</v>
      </c>
      <c r="F32" s="249" t="s">
        <v>69</v>
      </c>
      <c r="G32" s="248" t="s">
        <v>69</v>
      </c>
      <c r="H32" s="247" t="s">
        <v>69</v>
      </c>
      <c r="I32" s="247" t="s">
        <v>69</v>
      </c>
      <c r="J32" s="247">
        <v>1</v>
      </c>
      <c r="K32" s="246" t="s">
        <v>69</v>
      </c>
      <c r="L32" s="251" t="s">
        <v>69</v>
      </c>
      <c r="M32" s="251" t="s">
        <v>69</v>
      </c>
      <c r="N32" s="251" t="s">
        <v>69</v>
      </c>
      <c r="O32" s="245">
        <f>SUM(F32:N32)</f>
        <v>1</v>
      </c>
      <c r="P32" s="244">
        <f>100%-O32</f>
        <v>0</v>
      </c>
      <c r="Q32" s="242" t="s">
        <v>310</v>
      </c>
    </row>
    <row r="33" spans="1:17" x14ac:dyDescent="0.25">
      <c r="B33" s="243"/>
      <c r="E33" s="243" t="s">
        <v>156</v>
      </c>
      <c r="F33" s="249" t="s">
        <v>69</v>
      </c>
      <c r="G33" s="248" t="s">
        <v>69</v>
      </c>
      <c r="H33" s="247" t="s">
        <v>69</v>
      </c>
      <c r="I33" s="247" t="s">
        <v>69</v>
      </c>
      <c r="J33" s="247" t="s">
        <v>69</v>
      </c>
      <c r="K33" s="246" t="s">
        <v>69</v>
      </c>
      <c r="L33" s="251">
        <v>1</v>
      </c>
      <c r="M33" s="251" t="s">
        <v>69</v>
      </c>
      <c r="N33" s="251" t="s">
        <v>69</v>
      </c>
      <c r="O33" s="245">
        <f>SUM(F33:N33)</f>
        <v>1</v>
      </c>
      <c r="P33" s="244">
        <f>100%-O33</f>
        <v>0</v>
      </c>
      <c r="Q33" s="242" t="s">
        <v>301</v>
      </c>
    </row>
    <row r="34" spans="1:17" x14ac:dyDescent="0.25">
      <c r="B34" s="243"/>
      <c r="E34" s="243" t="s">
        <v>300</v>
      </c>
      <c r="F34" s="249" t="s">
        <v>69</v>
      </c>
      <c r="G34" s="248" t="s">
        <v>69</v>
      </c>
      <c r="H34" s="247" t="s">
        <v>69</v>
      </c>
      <c r="I34" s="247" t="s">
        <v>69</v>
      </c>
      <c r="J34" s="247" t="s">
        <v>69</v>
      </c>
      <c r="K34" s="246" t="s">
        <v>69</v>
      </c>
      <c r="L34" s="251">
        <v>1</v>
      </c>
      <c r="M34" s="251" t="s">
        <v>69</v>
      </c>
      <c r="N34" s="251" t="s">
        <v>69</v>
      </c>
      <c r="O34" s="245">
        <f>SUM(F34:N34)</f>
        <v>1</v>
      </c>
      <c r="P34" s="244">
        <f>100%-O34</f>
        <v>0</v>
      </c>
    </row>
    <row r="35" spans="1:17" ht="9" customHeight="1" x14ac:dyDescent="0.25">
      <c r="B35" s="243"/>
      <c r="C35" s="243"/>
      <c r="D35" s="243"/>
      <c r="E35" s="243"/>
      <c r="F35" s="249"/>
      <c r="G35" s="248"/>
      <c r="H35" s="247"/>
      <c r="I35" s="246"/>
      <c r="J35" s="247"/>
      <c r="K35" s="246"/>
      <c r="L35" s="251"/>
      <c r="M35" s="251"/>
      <c r="N35" s="251"/>
      <c r="O35" s="245"/>
    </row>
    <row r="36" spans="1:17" x14ac:dyDescent="0.25">
      <c r="A36" s="397" t="s">
        <v>191</v>
      </c>
      <c r="B36" s="255" t="s">
        <v>165</v>
      </c>
      <c r="C36" s="255">
        <v>43259</v>
      </c>
      <c r="D36" s="255">
        <v>7007</v>
      </c>
      <c r="E36" s="243" t="s">
        <v>159</v>
      </c>
      <c r="F36" s="252">
        <v>0.1</v>
      </c>
      <c r="G36" s="248">
        <v>0.05</v>
      </c>
      <c r="H36" s="247">
        <v>0.05</v>
      </c>
      <c r="I36" s="246">
        <v>0.15</v>
      </c>
      <c r="J36" s="247">
        <v>0.1</v>
      </c>
      <c r="K36" s="246">
        <v>0.1</v>
      </c>
      <c r="L36" s="251">
        <v>0.3</v>
      </c>
      <c r="M36" s="277">
        <v>0.05</v>
      </c>
      <c r="N36" s="251">
        <v>0.1</v>
      </c>
      <c r="O36" s="245">
        <f>SUM(F36:N36)</f>
        <v>0.99999999999999989</v>
      </c>
      <c r="P36" s="244">
        <f>100%-O36</f>
        <v>0</v>
      </c>
    </row>
    <row r="37" spans="1:17" x14ac:dyDescent="0.25">
      <c r="A37" s="394" t="s">
        <v>184</v>
      </c>
      <c r="B37" s="243"/>
      <c r="C37" s="243"/>
      <c r="D37" s="243"/>
      <c r="E37" s="243" t="s">
        <v>158</v>
      </c>
      <c r="F37" s="252">
        <v>0.2</v>
      </c>
      <c r="G37" s="248" t="s">
        <v>69</v>
      </c>
      <c r="H37" s="247" t="s">
        <v>69</v>
      </c>
      <c r="I37" s="246">
        <v>0.15</v>
      </c>
      <c r="J37" s="247">
        <v>0.1</v>
      </c>
      <c r="K37" s="246">
        <v>0.05</v>
      </c>
      <c r="L37" s="251">
        <v>0.4</v>
      </c>
      <c r="M37" s="277">
        <v>0.05</v>
      </c>
      <c r="N37" s="251">
        <v>0.05</v>
      </c>
      <c r="O37" s="245">
        <f>SUM(F37:N37)</f>
        <v>1</v>
      </c>
      <c r="P37" s="244">
        <f>100%-O37</f>
        <v>0</v>
      </c>
    </row>
    <row r="38" spans="1:17" x14ac:dyDescent="0.25">
      <c r="A38" s="394"/>
      <c r="B38" s="243"/>
      <c r="C38" s="243"/>
      <c r="D38" s="243"/>
      <c r="E38" s="243" t="s">
        <v>157</v>
      </c>
      <c r="F38" s="252">
        <v>0.2</v>
      </c>
      <c r="G38" s="248" t="s">
        <v>69</v>
      </c>
      <c r="H38" s="247" t="s">
        <v>69</v>
      </c>
      <c r="I38" s="246">
        <v>0.15</v>
      </c>
      <c r="J38" s="247">
        <v>0.1</v>
      </c>
      <c r="K38" s="246">
        <v>0.05</v>
      </c>
      <c r="L38" s="251">
        <v>0.4</v>
      </c>
      <c r="M38" s="277">
        <v>0.05</v>
      </c>
      <c r="N38" s="251">
        <v>0.05</v>
      </c>
      <c r="O38" s="245">
        <f>SUM(F38:N38)</f>
        <v>1</v>
      </c>
      <c r="P38" s="244">
        <f>100%-O38</f>
        <v>0</v>
      </c>
      <c r="Q38" s="242" t="s">
        <v>269</v>
      </c>
    </row>
    <row r="39" spans="1:17" x14ac:dyDescent="0.25">
      <c r="B39" s="243"/>
      <c r="C39" s="243"/>
      <c r="D39" s="243"/>
      <c r="E39" s="243" t="s">
        <v>156</v>
      </c>
      <c r="F39" s="252">
        <v>0.65</v>
      </c>
      <c r="G39" s="248" t="s">
        <v>69</v>
      </c>
      <c r="H39" s="247" t="s">
        <v>69</v>
      </c>
      <c r="I39" s="246" t="s">
        <v>69</v>
      </c>
      <c r="J39" s="247" t="s">
        <v>69</v>
      </c>
      <c r="K39" s="246" t="s">
        <v>69</v>
      </c>
      <c r="L39" s="251">
        <v>0.25</v>
      </c>
      <c r="M39" s="277">
        <v>0.05</v>
      </c>
      <c r="N39" s="251">
        <v>0.05</v>
      </c>
      <c r="O39" s="245">
        <f>SUM(F39:N39)</f>
        <v>1</v>
      </c>
      <c r="P39" s="244">
        <f>100%-O39</f>
        <v>0</v>
      </c>
      <c r="Q39" s="242" t="s">
        <v>271</v>
      </c>
    </row>
    <row r="40" spans="1:17" x14ac:dyDescent="0.25">
      <c r="B40" s="243"/>
      <c r="C40" s="243"/>
      <c r="D40" s="243"/>
      <c r="E40" s="243" t="s">
        <v>300</v>
      </c>
      <c r="F40" s="252">
        <v>0.75</v>
      </c>
      <c r="G40" s="248" t="s">
        <v>69</v>
      </c>
      <c r="H40" s="247" t="s">
        <v>69</v>
      </c>
      <c r="I40" s="246" t="s">
        <v>69</v>
      </c>
      <c r="J40" s="247" t="s">
        <v>69</v>
      </c>
      <c r="K40" s="246" t="s">
        <v>69</v>
      </c>
      <c r="L40" s="251">
        <v>0.15</v>
      </c>
      <c r="M40" s="277">
        <v>0.05</v>
      </c>
      <c r="N40" s="251">
        <v>0.05</v>
      </c>
      <c r="O40" s="245">
        <f>SUM(F40:N40)</f>
        <v>1</v>
      </c>
      <c r="P40" s="244">
        <f>100%-O40</f>
        <v>0</v>
      </c>
    </row>
    <row r="41" spans="1:17" ht="9" customHeight="1" x14ac:dyDescent="0.25">
      <c r="B41" s="243"/>
      <c r="C41" s="243"/>
      <c r="D41" s="243"/>
      <c r="E41" s="243"/>
      <c r="F41" s="249"/>
      <c r="G41" s="248"/>
      <c r="H41" s="247"/>
      <c r="I41" s="246"/>
      <c r="J41" s="247"/>
      <c r="K41" s="246"/>
      <c r="L41" s="251"/>
      <c r="M41" s="251"/>
      <c r="N41" s="251"/>
      <c r="O41" s="245"/>
    </row>
    <row r="42" spans="1:17" x14ac:dyDescent="0.25">
      <c r="A42" s="266" t="s">
        <v>263</v>
      </c>
      <c r="B42" s="266"/>
      <c r="C42" s="250">
        <v>19170</v>
      </c>
      <c r="D42" s="250">
        <v>2509</v>
      </c>
      <c r="E42" s="243" t="s">
        <v>159</v>
      </c>
      <c r="F42" s="249">
        <v>0.7</v>
      </c>
      <c r="G42" s="248" t="s">
        <v>69</v>
      </c>
      <c r="H42" s="247" t="s">
        <v>69</v>
      </c>
      <c r="I42" s="247" t="s">
        <v>69</v>
      </c>
      <c r="J42" s="247" t="s">
        <v>69</v>
      </c>
      <c r="K42" s="246" t="s">
        <v>69</v>
      </c>
      <c r="L42" s="251" t="s">
        <v>69</v>
      </c>
      <c r="M42" s="251">
        <v>0.3</v>
      </c>
      <c r="N42" s="251" t="s">
        <v>69</v>
      </c>
      <c r="O42" s="245">
        <f>SUM(F42:N42)</f>
        <v>1</v>
      </c>
      <c r="P42" s="244">
        <f>100%-O42</f>
        <v>0</v>
      </c>
    </row>
    <row r="43" spans="1:17" x14ac:dyDescent="0.25">
      <c r="C43" s="243"/>
      <c r="E43" s="243" t="s">
        <v>158</v>
      </c>
      <c r="F43" s="249">
        <v>0.7</v>
      </c>
      <c r="G43" s="248" t="s">
        <v>69</v>
      </c>
      <c r="H43" s="247" t="s">
        <v>69</v>
      </c>
      <c r="I43" s="247" t="s">
        <v>69</v>
      </c>
      <c r="J43" s="247" t="s">
        <v>69</v>
      </c>
      <c r="K43" s="246" t="s">
        <v>69</v>
      </c>
      <c r="L43" s="251" t="s">
        <v>69</v>
      </c>
      <c r="M43" s="251">
        <v>0.3</v>
      </c>
      <c r="N43" s="251" t="s">
        <v>69</v>
      </c>
      <c r="O43" s="245">
        <f>SUM(F43:N43)</f>
        <v>1</v>
      </c>
      <c r="P43" s="244">
        <f>100%-O43</f>
        <v>0</v>
      </c>
    </row>
    <row r="44" spans="1:17" x14ac:dyDescent="0.25">
      <c r="E44" s="243" t="s">
        <v>157</v>
      </c>
      <c r="F44" s="249">
        <v>0.9</v>
      </c>
      <c r="G44" s="248" t="s">
        <v>69</v>
      </c>
      <c r="H44" s="247" t="s">
        <v>69</v>
      </c>
      <c r="I44" s="247" t="s">
        <v>69</v>
      </c>
      <c r="J44" s="247" t="s">
        <v>69</v>
      </c>
      <c r="K44" s="246" t="s">
        <v>69</v>
      </c>
      <c r="L44" s="251" t="s">
        <v>69</v>
      </c>
      <c r="M44" s="251">
        <v>0.1</v>
      </c>
      <c r="N44" s="251" t="s">
        <v>69</v>
      </c>
      <c r="O44" s="245">
        <f>SUM(F44:N44)</f>
        <v>1</v>
      </c>
      <c r="P44" s="244">
        <f>100%-O44</f>
        <v>0</v>
      </c>
    </row>
    <row r="45" spans="1:17" x14ac:dyDescent="0.25">
      <c r="E45" s="243" t="s">
        <v>156</v>
      </c>
      <c r="F45" s="249">
        <v>0.9</v>
      </c>
      <c r="G45" s="248" t="s">
        <v>69</v>
      </c>
      <c r="H45" s="247" t="s">
        <v>69</v>
      </c>
      <c r="I45" s="247" t="s">
        <v>69</v>
      </c>
      <c r="J45" s="247" t="s">
        <v>69</v>
      </c>
      <c r="K45" s="246" t="s">
        <v>69</v>
      </c>
      <c r="L45" s="251" t="s">
        <v>69</v>
      </c>
      <c r="M45" s="251">
        <v>0.1</v>
      </c>
      <c r="N45" s="251" t="s">
        <v>69</v>
      </c>
      <c r="O45" s="245">
        <f>SUM(F45:N45)</f>
        <v>1</v>
      </c>
      <c r="P45" s="244">
        <f>100%-O45</f>
        <v>0</v>
      </c>
    </row>
    <row r="46" spans="1:17" x14ac:dyDescent="0.25">
      <c r="E46" s="243" t="s">
        <v>300</v>
      </c>
      <c r="F46" s="249">
        <v>0.95</v>
      </c>
      <c r="G46" s="248" t="s">
        <v>69</v>
      </c>
      <c r="H46" s="247" t="s">
        <v>69</v>
      </c>
      <c r="I46" s="247" t="s">
        <v>69</v>
      </c>
      <c r="J46" s="247" t="s">
        <v>69</v>
      </c>
      <c r="K46" s="246" t="s">
        <v>69</v>
      </c>
      <c r="L46" s="251" t="s">
        <v>69</v>
      </c>
      <c r="M46" s="251">
        <v>0.05</v>
      </c>
      <c r="N46" s="251" t="s">
        <v>69</v>
      </c>
      <c r="O46" s="245">
        <f>SUM(F46:N46)</f>
        <v>1</v>
      </c>
      <c r="P46" s="244">
        <f>100%-O46</f>
        <v>0</v>
      </c>
    </row>
    <row r="47" spans="1:17" ht="9" customHeight="1" x14ac:dyDescent="0.25">
      <c r="E47" s="243"/>
      <c r="F47" s="249"/>
      <c r="G47" s="248"/>
      <c r="H47" s="247"/>
      <c r="I47" s="246"/>
      <c r="J47" s="247"/>
      <c r="K47" s="246"/>
      <c r="L47" s="251"/>
      <c r="M47" s="251"/>
      <c r="N47" s="251"/>
      <c r="O47" s="245"/>
      <c r="P47" s="244"/>
    </row>
    <row r="49" spans="1:12" x14ac:dyDescent="0.25">
      <c r="L49" s="251"/>
    </row>
    <row r="50" spans="1:12" x14ac:dyDescent="0.25">
      <c r="A50" s="242" t="s">
        <v>160</v>
      </c>
      <c r="B50" s="243" t="s">
        <v>168</v>
      </c>
      <c r="C50" s="243" t="s">
        <v>167</v>
      </c>
      <c r="D50" s="243">
        <v>2437</v>
      </c>
      <c r="E50" s="394" t="s">
        <v>396</v>
      </c>
    </row>
    <row r="51" spans="1:12" x14ac:dyDescent="0.25">
      <c r="A51" s="242" t="s">
        <v>195</v>
      </c>
      <c r="C51" s="243">
        <v>13311</v>
      </c>
      <c r="D51" s="243">
        <v>2503</v>
      </c>
      <c r="E51" s="394" t="s">
        <v>397</v>
      </c>
    </row>
    <row r="52" spans="1:12" x14ac:dyDescent="0.25">
      <c r="A52" s="242" t="s">
        <v>161</v>
      </c>
      <c r="B52" s="243"/>
      <c r="C52" s="243">
        <v>18584</v>
      </c>
      <c r="D52" s="243">
        <v>6401</v>
      </c>
      <c r="E52" s="394" t="s">
        <v>398</v>
      </c>
    </row>
    <row r="53" spans="1:12" x14ac:dyDescent="0.25">
      <c r="A53" s="242" t="s">
        <v>166</v>
      </c>
      <c r="B53" s="243" t="s">
        <v>189</v>
      </c>
      <c r="C53" s="243">
        <v>13299</v>
      </c>
      <c r="D53" s="243">
        <v>2509</v>
      </c>
      <c r="E53" s="394" t="s">
        <v>399</v>
      </c>
    </row>
    <row r="56" spans="1:12" ht="9" customHeight="1" x14ac:dyDescent="0.25"/>
  </sheetData>
  <pageMargins left="0.16" right="0.16"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V54"/>
  <sheetViews>
    <sheetView zoomScale="90" zoomScaleNormal="90" workbookViewId="0">
      <pane xSplit="2" ySplit="6" topLeftCell="I7" activePane="bottomRight" state="frozen"/>
      <selection pane="topRight" activeCell="C1" sqref="C1"/>
      <selection pane="bottomLeft" activeCell="A7" sqref="A7"/>
      <selection pane="bottomRight" activeCell="B4" sqref="B4"/>
    </sheetView>
  </sheetViews>
  <sheetFormatPr defaultRowHeight="15" x14ac:dyDescent="0.25"/>
  <cols>
    <col min="1" max="1" width="6" style="166" bestFit="1" customWidth="1"/>
    <col min="2" max="2" width="37.140625" style="167" bestFit="1" customWidth="1"/>
    <col min="3" max="3" width="15.42578125" style="189" bestFit="1" customWidth="1"/>
    <col min="4" max="4" width="15" style="189" bestFit="1" customWidth="1"/>
    <col min="5" max="5" width="12.140625" style="167" bestFit="1" customWidth="1"/>
    <col min="6" max="6" width="13.85546875" style="167" bestFit="1" customWidth="1"/>
    <col min="7" max="7" width="15.7109375" style="189" bestFit="1" customWidth="1"/>
    <col min="8" max="8" width="13.85546875" style="189" bestFit="1" customWidth="1"/>
    <col min="9" max="9" width="15" style="189" bestFit="1" customWidth="1"/>
    <col min="10" max="10" width="16.140625" style="189" bestFit="1" customWidth="1"/>
    <col min="11" max="11" width="13.85546875" style="167" bestFit="1" customWidth="1"/>
    <col min="12" max="12" width="15" style="167" bestFit="1" customWidth="1"/>
    <col min="13" max="13" width="16.140625" style="189" bestFit="1" customWidth="1"/>
    <col min="14" max="14" width="13.85546875" style="167" bestFit="1" customWidth="1"/>
    <col min="15" max="15" width="15" style="167" bestFit="1" customWidth="1"/>
    <col min="16" max="16" width="16" style="167" bestFit="1" customWidth="1"/>
    <col min="17" max="17" width="16" style="167" customWidth="1"/>
    <col min="18" max="18" width="13.85546875" style="167" bestFit="1" customWidth="1"/>
    <col min="19" max="19" width="13.85546875" bestFit="1" customWidth="1"/>
    <col min="20" max="20" width="12.140625" bestFit="1" customWidth="1"/>
    <col min="21" max="21" width="13.85546875" bestFit="1" customWidth="1"/>
    <col min="22" max="22" width="12.140625" bestFit="1" customWidth="1"/>
  </cols>
  <sheetData>
    <row r="1" spans="1:22" s="210" customFormat="1" ht="15.75" x14ac:dyDescent="0.25">
      <c r="A1" s="207"/>
      <c r="B1" s="548" t="s">
        <v>135</v>
      </c>
      <c r="C1" s="548"/>
      <c r="D1" s="548"/>
      <c r="E1" s="548"/>
      <c r="F1" s="548"/>
      <c r="G1" s="548"/>
      <c r="H1" s="548"/>
      <c r="I1" s="548"/>
      <c r="J1" s="208"/>
      <c r="K1" s="209"/>
      <c r="L1" s="209"/>
      <c r="M1" s="208"/>
      <c r="N1" s="209"/>
      <c r="O1" s="209"/>
      <c r="P1" s="209"/>
      <c r="Q1" s="209"/>
      <c r="R1" s="209"/>
    </row>
    <row r="2" spans="1:22" s="210" customFormat="1" ht="15.75" x14ac:dyDescent="0.25">
      <c r="A2" s="207"/>
      <c r="B2" s="221" t="s">
        <v>142</v>
      </c>
      <c r="C2" s="220"/>
      <c r="D2" s="220"/>
      <c r="E2" s="220"/>
      <c r="F2" s="220"/>
      <c r="G2" s="220"/>
      <c r="H2" s="220"/>
      <c r="I2" s="220"/>
      <c r="J2" s="208"/>
      <c r="K2" s="209"/>
      <c r="L2" s="209"/>
      <c r="M2" s="208"/>
      <c r="N2" s="209"/>
      <c r="O2" s="209"/>
      <c r="P2" s="209"/>
      <c r="Q2" s="209"/>
      <c r="R2" s="209"/>
    </row>
    <row r="3" spans="1:22" x14ac:dyDescent="0.25">
      <c r="C3" s="273" t="s">
        <v>188</v>
      </c>
      <c r="D3" s="549" t="s">
        <v>188</v>
      </c>
      <c r="E3" s="549"/>
      <c r="F3" s="549"/>
      <c r="G3" s="549" t="s">
        <v>188</v>
      </c>
      <c r="H3" s="549"/>
      <c r="I3" s="549"/>
      <c r="J3" s="273" t="s">
        <v>188</v>
      </c>
      <c r="K3" s="549" t="s">
        <v>188</v>
      </c>
      <c r="L3" s="549"/>
    </row>
    <row r="4" spans="1:22" ht="18.75" x14ac:dyDescent="0.3">
      <c r="A4" s="166" t="s">
        <v>134</v>
      </c>
      <c r="B4" s="268" t="s">
        <v>473</v>
      </c>
      <c r="C4" s="206" t="s">
        <v>0</v>
      </c>
      <c r="D4" s="545" t="s">
        <v>1</v>
      </c>
      <c r="E4" s="546"/>
      <c r="F4" s="547"/>
      <c r="G4" s="545" t="s">
        <v>3</v>
      </c>
      <c r="H4" s="546"/>
      <c r="I4" s="547"/>
      <c r="J4" s="206" t="s">
        <v>2</v>
      </c>
      <c r="K4" s="534" t="s">
        <v>126</v>
      </c>
      <c r="L4" s="535"/>
      <c r="M4" s="545" t="s">
        <v>128</v>
      </c>
      <c r="N4" s="546"/>
      <c r="O4" s="546"/>
      <c r="P4" s="546"/>
      <c r="Q4" s="546"/>
      <c r="R4" s="547"/>
      <c r="S4" s="538" t="s">
        <v>243</v>
      </c>
      <c r="T4" s="539"/>
      <c r="U4" s="534" t="s">
        <v>268</v>
      </c>
      <c r="V4" s="535"/>
    </row>
    <row r="5" spans="1:22" s="200" customFormat="1" ht="12.75" x14ac:dyDescent="0.2">
      <c r="A5" s="198"/>
      <c r="B5" s="199"/>
      <c r="C5" s="201" t="s">
        <v>129</v>
      </c>
      <c r="D5" s="542" t="s">
        <v>130</v>
      </c>
      <c r="E5" s="543"/>
      <c r="F5" s="544"/>
      <c r="G5" s="542" t="s">
        <v>133</v>
      </c>
      <c r="H5" s="543"/>
      <c r="I5" s="544"/>
      <c r="J5" s="201" t="s">
        <v>131</v>
      </c>
      <c r="K5" s="536" t="s">
        <v>132</v>
      </c>
      <c r="L5" s="537"/>
      <c r="M5" s="542" t="s">
        <v>187</v>
      </c>
      <c r="N5" s="543"/>
      <c r="O5" s="543"/>
      <c r="P5" s="543"/>
      <c r="Q5" s="543"/>
      <c r="R5" s="544"/>
      <c r="S5" s="540" t="s">
        <v>254</v>
      </c>
      <c r="T5" s="541"/>
      <c r="U5" s="536" t="s">
        <v>276</v>
      </c>
      <c r="V5" s="537"/>
    </row>
    <row r="6" spans="1:22" ht="15.75" x14ac:dyDescent="0.25">
      <c r="C6" s="194" t="s">
        <v>10</v>
      </c>
      <c r="D6" s="192" t="s">
        <v>4</v>
      </c>
      <c r="E6" s="187" t="s">
        <v>10</v>
      </c>
      <c r="F6" s="188" t="s">
        <v>11</v>
      </c>
      <c r="G6" s="192" t="s">
        <v>4</v>
      </c>
      <c r="H6" s="187" t="s">
        <v>10</v>
      </c>
      <c r="I6" s="188" t="s">
        <v>11</v>
      </c>
      <c r="J6" s="194" t="s">
        <v>10</v>
      </c>
      <c r="K6" s="196" t="s">
        <v>11</v>
      </c>
      <c r="L6" s="197" t="s">
        <v>10</v>
      </c>
      <c r="M6" s="192" t="s">
        <v>4</v>
      </c>
      <c r="N6" s="187" t="s">
        <v>10</v>
      </c>
      <c r="O6" s="204" t="s">
        <v>77</v>
      </c>
      <c r="P6" s="204" t="s">
        <v>76</v>
      </c>
      <c r="Q6" s="204" t="s">
        <v>75</v>
      </c>
      <c r="R6" s="188" t="s">
        <v>11</v>
      </c>
      <c r="S6" s="269" t="s">
        <v>4</v>
      </c>
      <c r="T6" s="270" t="s">
        <v>10</v>
      </c>
      <c r="U6" s="196" t="s">
        <v>4</v>
      </c>
      <c r="V6" s="197" t="s">
        <v>10</v>
      </c>
    </row>
    <row r="7" spans="1:22" x14ac:dyDescent="0.25">
      <c r="A7" s="168">
        <v>10</v>
      </c>
      <c r="B7" s="167" t="s">
        <v>81</v>
      </c>
      <c r="C7" s="172">
        <v>0</v>
      </c>
      <c r="D7" s="172">
        <v>0</v>
      </c>
      <c r="E7" s="173">
        <v>0</v>
      </c>
      <c r="F7" s="180">
        <v>0</v>
      </c>
      <c r="G7" s="172">
        <v>0</v>
      </c>
      <c r="H7" s="173">
        <v>0</v>
      </c>
      <c r="I7" s="180">
        <v>0</v>
      </c>
      <c r="J7" s="172">
        <v>0</v>
      </c>
      <c r="K7" s="172">
        <v>0</v>
      </c>
      <c r="L7" s="180">
        <v>0</v>
      </c>
      <c r="M7" s="313">
        <v>0</v>
      </c>
      <c r="N7" s="313">
        <v>0</v>
      </c>
      <c r="O7" s="313">
        <v>0</v>
      </c>
      <c r="P7" s="313">
        <v>0</v>
      </c>
      <c r="Q7" s="313">
        <v>0</v>
      </c>
      <c r="R7" s="313">
        <v>0</v>
      </c>
      <c r="S7" s="172">
        <v>0</v>
      </c>
      <c r="T7" s="180">
        <v>0</v>
      </c>
      <c r="U7" s="172">
        <v>0</v>
      </c>
      <c r="V7" s="180">
        <v>0</v>
      </c>
    </row>
    <row r="8" spans="1:22" x14ac:dyDescent="0.25">
      <c r="A8" s="168">
        <v>18</v>
      </c>
      <c r="B8" s="167" t="s">
        <v>82</v>
      </c>
      <c r="C8" s="172">
        <v>0</v>
      </c>
      <c r="D8" s="172">
        <v>0</v>
      </c>
      <c r="E8" s="173">
        <v>0</v>
      </c>
      <c r="F8" s="180">
        <v>0</v>
      </c>
      <c r="G8" s="172">
        <v>0</v>
      </c>
      <c r="H8" s="173">
        <v>0</v>
      </c>
      <c r="I8" s="180">
        <v>0</v>
      </c>
      <c r="J8" s="172">
        <v>0</v>
      </c>
      <c r="K8" s="172">
        <v>0</v>
      </c>
      <c r="L8" s="180">
        <v>0</v>
      </c>
      <c r="M8" s="313">
        <v>0</v>
      </c>
      <c r="N8" s="313">
        <v>0</v>
      </c>
      <c r="O8" s="313">
        <v>0</v>
      </c>
      <c r="P8" s="313">
        <v>0</v>
      </c>
      <c r="Q8" s="313">
        <v>0</v>
      </c>
      <c r="R8" s="313">
        <v>0</v>
      </c>
      <c r="S8" s="172">
        <v>0</v>
      </c>
      <c r="T8" s="180">
        <v>0</v>
      </c>
      <c r="U8" s="172">
        <v>0</v>
      </c>
      <c r="V8" s="180">
        <v>0</v>
      </c>
    </row>
    <row r="9" spans="1:22" x14ac:dyDescent="0.25">
      <c r="A9" s="168">
        <v>20</v>
      </c>
      <c r="B9" s="167" t="s">
        <v>83</v>
      </c>
      <c r="C9" s="172">
        <v>1422.44</v>
      </c>
      <c r="D9" s="172">
        <v>0</v>
      </c>
      <c r="E9" s="173">
        <v>50</v>
      </c>
      <c r="F9" s="180">
        <v>0</v>
      </c>
      <c r="G9" s="172">
        <v>0</v>
      </c>
      <c r="H9" s="173">
        <v>625</v>
      </c>
      <c r="I9" s="180">
        <v>0</v>
      </c>
      <c r="J9" s="172">
        <v>600</v>
      </c>
      <c r="K9" s="172">
        <v>0</v>
      </c>
      <c r="L9" s="180">
        <v>0</v>
      </c>
      <c r="M9" s="313">
        <v>0</v>
      </c>
      <c r="N9" s="313">
        <v>4450</v>
      </c>
      <c r="O9" s="313">
        <v>0</v>
      </c>
      <c r="P9" s="313">
        <v>0</v>
      </c>
      <c r="Q9" s="313">
        <v>0</v>
      </c>
      <c r="R9" s="313">
        <v>0</v>
      </c>
      <c r="S9" s="172">
        <v>0</v>
      </c>
      <c r="T9" s="180">
        <v>1600.23</v>
      </c>
      <c r="U9" s="172">
        <v>0</v>
      </c>
      <c r="V9" s="180">
        <v>800</v>
      </c>
    </row>
    <row r="10" spans="1:22" x14ac:dyDescent="0.25">
      <c r="A10" s="168">
        <v>21</v>
      </c>
      <c r="B10" s="167" t="s">
        <v>84</v>
      </c>
      <c r="C10" s="172">
        <v>0</v>
      </c>
      <c r="D10" s="172">
        <v>0</v>
      </c>
      <c r="E10" s="173">
        <v>0</v>
      </c>
      <c r="F10" s="180">
        <v>0</v>
      </c>
      <c r="G10" s="172">
        <v>0</v>
      </c>
      <c r="H10" s="173">
        <v>0</v>
      </c>
      <c r="I10" s="180">
        <v>0</v>
      </c>
      <c r="J10" s="172">
        <v>0</v>
      </c>
      <c r="K10" s="172">
        <v>0</v>
      </c>
      <c r="L10" s="180">
        <v>0</v>
      </c>
      <c r="M10" s="313">
        <v>0</v>
      </c>
      <c r="N10" s="313">
        <v>0</v>
      </c>
      <c r="O10" s="313">
        <v>0</v>
      </c>
      <c r="P10" s="313">
        <v>0</v>
      </c>
      <c r="Q10" s="313">
        <v>0</v>
      </c>
      <c r="R10" s="313">
        <v>0</v>
      </c>
      <c r="S10" s="172">
        <v>0</v>
      </c>
      <c r="T10" s="180">
        <v>0</v>
      </c>
      <c r="U10" s="172">
        <v>0</v>
      </c>
      <c r="V10" s="180">
        <v>0</v>
      </c>
    </row>
    <row r="11" spans="1:22" x14ac:dyDescent="0.25">
      <c r="A11" s="168">
        <v>22</v>
      </c>
      <c r="B11" s="167" t="s">
        <v>85</v>
      </c>
      <c r="C11" s="172">
        <v>0</v>
      </c>
      <c r="D11" s="172">
        <v>0</v>
      </c>
      <c r="E11" s="173">
        <v>0</v>
      </c>
      <c r="F11" s="180">
        <v>0</v>
      </c>
      <c r="G11" s="172">
        <v>0</v>
      </c>
      <c r="H11" s="173">
        <v>0</v>
      </c>
      <c r="I11" s="180">
        <v>0</v>
      </c>
      <c r="J11" s="172">
        <v>0</v>
      </c>
      <c r="K11" s="172">
        <v>0</v>
      </c>
      <c r="L11" s="180">
        <v>0</v>
      </c>
      <c r="M11" s="313">
        <v>0</v>
      </c>
      <c r="N11" s="313">
        <v>0</v>
      </c>
      <c r="O11" s="313">
        <v>0</v>
      </c>
      <c r="P11" s="313">
        <v>0</v>
      </c>
      <c r="Q11" s="313">
        <v>0</v>
      </c>
      <c r="R11" s="313">
        <v>0</v>
      </c>
      <c r="S11" s="172">
        <v>0</v>
      </c>
      <c r="T11" s="180">
        <v>0</v>
      </c>
      <c r="U11" s="172">
        <v>0</v>
      </c>
      <c r="V11" s="180">
        <v>0</v>
      </c>
    </row>
    <row r="12" spans="1:22" x14ac:dyDescent="0.25">
      <c r="A12" s="168">
        <v>23</v>
      </c>
      <c r="B12" s="167" t="s">
        <v>86</v>
      </c>
      <c r="C12" s="172">
        <v>0</v>
      </c>
      <c r="D12" s="172">
        <v>0</v>
      </c>
      <c r="E12" s="173">
        <v>0</v>
      </c>
      <c r="F12" s="180">
        <v>0</v>
      </c>
      <c r="G12" s="172">
        <v>0</v>
      </c>
      <c r="H12" s="173">
        <v>0</v>
      </c>
      <c r="I12" s="180">
        <v>0</v>
      </c>
      <c r="J12" s="172">
        <v>0</v>
      </c>
      <c r="K12" s="172">
        <v>0</v>
      </c>
      <c r="L12" s="180">
        <v>0</v>
      </c>
      <c r="M12" s="313">
        <v>0</v>
      </c>
      <c r="N12" s="313">
        <v>0</v>
      </c>
      <c r="O12" s="313">
        <v>0</v>
      </c>
      <c r="P12" s="313">
        <v>0</v>
      </c>
      <c r="Q12" s="313">
        <v>0</v>
      </c>
      <c r="R12" s="313">
        <v>0</v>
      </c>
      <c r="S12" s="172">
        <v>0</v>
      </c>
      <c r="T12" s="180">
        <v>0</v>
      </c>
      <c r="U12" s="172">
        <v>0</v>
      </c>
      <c r="V12" s="180">
        <v>0</v>
      </c>
    </row>
    <row r="13" spans="1:22" x14ac:dyDescent="0.25">
      <c r="A13" s="168">
        <v>24</v>
      </c>
      <c r="B13" s="167" t="s">
        <v>87</v>
      </c>
      <c r="C13" s="172">
        <v>0</v>
      </c>
      <c r="D13" s="172">
        <v>0</v>
      </c>
      <c r="E13" s="173">
        <v>0</v>
      </c>
      <c r="F13" s="180">
        <v>0</v>
      </c>
      <c r="G13" s="172">
        <v>0</v>
      </c>
      <c r="H13" s="173">
        <v>0</v>
      </c>
      <c r="I13" s="180">
        <v>0</v>
      </c>
      <c r="J13" s="172">
        <v>0</v>
      </c>
      <c r="K13" s="172">
        <v>0</v>
      </c>
      <c r="L13" s="180">
        <v>0</v>
      </c>
      <c r="M13" s="313">
        <v>0</v>
      </c>
      <c r="N13" s="313">
        <v>0</v>
      </c>
      <c r="O13" s="313">
        <v>0</v>
      </c>
      <c r="P13" s="313">
        <v>0</v>
      </c>
      <c r="Q13" s="313">
        <v>0</v>
      </c>
      <c r="R13" s="313">
        <v>0</v>
      </c>
      <c r="S13" s="172">
        <v>0</v>
      </c>
      <c r="T13" s="180">
        <v>0</v>
      </c>
      <c r="U13" s="172">
        <v>0</v>
      </c>
      <c r="V13" s="180">
        <v>0</v>
      </c>
    </row>
    <row r="14" spans="1:22" x14ac:dyDescent="0.25">
      <c r="A14" s="168">
        <v>26</v>
      </c>
      <c r="B14" s="167" t="s">
        <v>88</v>
      </c>
      <c r="C14" s="172">
        <v>0</v>
      </c>
      <c r="D14" s="172">
        <v>0</v>
      </c>
      <c r="E14" s="173">
        <v>0</v>
      </c>
      <c r="F14" s="180">
        <v>0</v>
      </c>
      <c r="G14" s="172">
        <v>0</v>
      </c>
      <c r="H14" s="173">
        <v>0</v>
      </c>
      <c r="I14" s="180">
        <v>0</v>
      </c>
      <c r="J14" s="172">
        <v>0</v>
      </c>
      <c r="K14" s="172">
        <v>0</v>
      </c>
      <c r="L14" s="180">
        <v>0</v>
      </c>
      <c r="M14" s="313">
        <v>0</v>
      </c>
      <c r="N14" s="313">
        <v>0</v>
      </c>
      <c r="O14" s="313">
        <v>0</v>
      </c>
      <c r="P14" s="313">
        <v>0</v>
      </c>
      <c r="Q14" s="313">
        <v>0</v>
      </c>
      <c r="R14" s="313">
        <v>0</v>
      </c>
      <c r="S14" s="172">
        <v>0</v>
      </c>
      <c r="T14" s="180">
        <v>0</v>
      </c>
      <c r="U14" s="172">
        <v>0</v>
      </c>
      <c r="V14" s="180">
        <v>0</v>
      </c>
    </row>
    <row r="15" spans="1:22" x14ac:dyDescent="0.25">
      <c r="A15" s="168">
        <v>27</v>
      </c>
      <c r="B15" s="167" t="s">
        <v>89</v>
      </c>
      <c r="C15" s="172">
        <v>900</v>
      </c>
      <c r="D15" s="172">
        <v>0</v>
      </c>
      <c r="E15" s="173">
        <v>0</v>
      </c>
      <c r="F15" s="180">
        <v>0</v>
      </c>
      <c r="G15" s="172">
        <v>0</v>
      </c>
      <c r="H15" s="173">
        <v>0</v>
      </c>
      <c r="I15" s="180">
        <v>0</v>
      </c>
      <c r="J15" s="172">
        <v>3600</v>
      </c>
      <c r="K15" s="172">
        <v>0</v>
      </c>
      <c r="L15" s="180">
        <v>0</v>
      </c>
      <c r="M15" s="313">
        <v>0</v>
      </c>
      <c r="N15" s="313">
        <v>31950</v>
      </c>
      <c r="O15" s="313">
        <v>0</v>
      </c>
      <c r="P15" s="313">
        <v>0</v>
      </c>
      <c r="Q15" s="313">
        <v>0</v>
      </c>
      <c r="R15" s="313">
        <v>0</v>
      </c>
      <c r="S15" s="172">
        <v>0</v>
      </c>
      <c r="T15" s="180">
        <v>0</v>
      </c>
      <c r="U15" s="172">
        <v>0</v>
      </c>
      <c r="V15" s="180">
        <v>0</v>
      </c>
    </row>
    <row r="16" spans="1:22" x14ac:dyDescent="0.25">
      <c r="A16" s="168">
        <v>28</v>
      </c>
      <c r="B16" s="167" t="s">
        <v>90</v>
      </c>
      <c r="C16" s="172">
        <v>675</v>
      </c>
      <c r="D16" s="172">
        <v>0</v>
      </c>
      <c r="E16" s="173">
        <v>0</v>
      </c>
      <c r="F16" s="180">
        <v>0</v>
      </c>
      <c r="G16" s="172">
        <v>0</v>
      </c>
      <c r="H16" s="173">
        <v>0</v>
      </c>
      <c r="I16" s="180">
        <v>0</v>
      </c>
      <c r="J16" s="172">
        <v>2700</v>
      </c>
      <c r="K16" s="172">
        <v>0</v>
      </c>
      <c r="L16" s="180">
        <v>0</v>
      </c>
      <c r="M16" s="313">
        <v>0</v>
      </c>
      <c r="N16" s="313">
        <v>24975</v>
      </c>
      <c r="O16" s="313">
        <v>0</v>
      </c>
      <c r="P16" s="313">
        <v>0</v>
      </c>
      <c r="Q16" s="313">
        <v>0</v>
      </c>
      <c r="R16" s="313">
        <v>0</v>
      </c>
      <c r="S16" s="172">
        <v>0</v>
      </c>
      <c r="T16" s="180">
        <v>0</v>
      </c>
      <c r="U16" s="172">
        <v>0</v>
      </c>
      <c r="V16" s="180">
        <v>0</v>
      </c>
    </row>
    <row r="17" spans="1:22" x14ac:dyDescent="0.25">
      <c r="A17" s="168">
        <v>29</v>
      </c>
      <c r="B17" s="167" t="s">
        <v>91</v>
      </c>
      <c r="C17" s="172">
        <v>575</v>
      </c>
      <c r="D17" s="172">
        <v>0</v>
      </c>
      <c r="E17" s="173">
        <v>2515</v>
      </c>
      <c r="F17" s="180">
        <v>0</v>
      </c>
      <c r="G17" s="172">
        <v>0</v>
      </c>
      <c r="H17" s="173">
        <v>49365.47</v>
      </c>
      <c r="I17" s="180">
        <v>0</v>
      </c>
      <c r="J17" s="172">
        <v>3900</v>
      </c>
      <c r="K17" s="172">
        <v>0</v>
      </c>
      <c r="L17" s="180">
        <v>2000</v>
      </c>
      <c r="M17" s="313">
        <v>0</v>
      </c>
      <c r="N17" s="313">
        <v>66300</v>
      </c>
      <c r="O17" s="313">
        <v>0</v>
      </c>
      <c r="P17" s="313">
        <v>0</v>
      </c>
      <c r="Q17" s="313">
        <v>0</v>
      </c>
      <c r="R17" s="313">
        <v>0</v>
      </c>
      <c r="S17" s="172">
        <v>0</v>
      </c>
      <c r="T17" s="180">
        <v>4000</v>
      </c>
      <c r="U17" s="172">
        <v>0</v>
      </c>
      <c r="V17" s="180">
        <v>2700</v>
      </c>
    </row>
    <row r="18" spans="1:22" x14ac:dyDescent="0.25">
      <c r="A18" s="168">
        <v>30</v>
      </c>
      <c r="B18" s="167" t="s">
        <v>92</v>
      </c>
      <c r="C18" s="172">
        <v>0</v>
      </c>
      <c r="D18" s="172">
        <v>0</v>
      </c>
      <c r="E18" s="173">
        <v>0</v>
      </c>
      <c r="F18" s="180">
        <v>0</v>
      </c>
      <c r="G18" s="172">
        <v>0</v>
      </c>
      <c r="H18" s="173">
        <v>200</v>
      </c>
      <c r="I18" s="180">
        <v>0</v>
      </c>
      <c r="J18" s="172">
        <v>200</v>
      </c>
      <c r="K18" s="172">
        <v>0</v>
      </c>
      <c r="L18" s="180">
        <v>0</v>
      </c>
      <c r="M18" s="313">
        <v>0</v>
      </c>
      <c r="N18" s="313">
        <v>300</v>
      </c>
      <c r="O18" s="313">
        <v>0</v>
      </c>
      <c r="P18" s="313">
        <v>0</v>
      </c>
      <c r="Q18" s="313">
        <v>0</v>
      </c>
      <c r="R18" s="313">
        <v>0</v>
      </c>
      <c r="S18" s="172">
        <v>0</v>
      </c>
      <c r="T18" s="180">
        <v>0</v>
      </c>
      <c r="U18" s="172">
        <v>0</v>
      </c>
      <c r="V18" s="180">
        <v>0</v>
      </c>
    </row>
    <row r="19" spans="1:22" x14ac:dyDescent="0.25">
      <c r="A19" s="168">
        <v>37</v>
      </c>
      <c r="B19" s="167" t="s">
        <v>93</v>
      </c>
      <c r="C19" s="172">
        <v>0</v>
      </c>
      <c r="D19" s="172">
        <v>0</v>
      </c>
      <c r="E19" s="173">
        <v>0</v>
      </c>
      <c r="F19" s="180">
        <v>0</v>
      </c>
      <c r="G19" s="172">
        <v>0</v>
      </c>
      <c r="H19" s="173">
        <v>200</v>
      </c>
      <c r="I19" s="180">
        <v>0</v>
      </c>
      <c r="J19" s="172">
        <v>200</v>
      </c>
      <c r="K19" s="172">
        <v>0</v>
      </c>
      <c r="L19" s="180">
        <v>0</v>
      </c>
      <c r="M19" s="313">
        <v>0</v>
      </c>
      <c r="N19" s="313">
        <v>9048.36</v>
      </c>
      <c r="O19" s="313">
        <v>0</v>
      </c>
      <c r="P19" s="313">
        <v>0</v>
      </c>
      <c r="Q19" s="313">
        <v>0</v>
      </c>
      <c r="R19" s="313">
        <v>0</v>
      </c>
      <c r="S19" s="172">
        <v>0</v>
      </c>
      <c r="T19" s="180">
        <v>0</v>
      </c>
      <c r="U19" s="172">
        <v>0</v>
      </c>
      <c r="V19" s="180">
        <v>0</v>
      </c>
    </row>
    <row r="20" spans="1:22" x14ac:dyDescent="0.25">
      <c r="A20" s="168">
        <v>38</v>
      </c>
      <c r="B20" s="167" t="s">
        <v>94</v>
      </c>
      <c r="C20" s="172">
        <v>175</v>
      </c>
      <c r="D20" s="172">
        <v>0</v>
      </c>
      <c r="E20" s="173">
        <v>0</v>
      </c>
      <c r="F20" s="180">
        <v>0</v>
      </c>
      <c r="G20" s="172">
        <v>0</v>
      </c>
      <c r="H20" s="173">
        <v>0</v>
      </c>
      <c r="I20" s="180">
        <v>0</v>
      </c>
      <c r="J20" s="172">
        <v>175</v>
      </c>
      <c r="K20" s="172">
        <v>0</v>
      </c>
      <c r="L20" s="180">
        <v>0</v>
      </c>
      <c r="M20" s="313">
        <v>0</v>
      </c>
      <c r="N20" s="313">
        <v>1375</v>
      </c>
      <c r="O20" s="313">
        <v>0</v>
      </c>
      <c r="P20" s="313">
        <v>0</v>
      </c>
      <c r="Q20" s="313">
        <v>0</v>
      </c>
      <c r="R20" s="313">
        <v>0</v>
      </c>
      <c r="S20" s="172">
        <v>0</v>
      </c>
      <c r="T20" s="180">
        <v>73.5</v>
      </c>
      <c r="U20" s="172">
        <v>0</v>
      </c>
      <c r="V20" s="180">
        <v>0</v>
      </c>
    </row>
    <row r="21" spans="1:22" x14ac:dyDescent="0.25">
      <c r="A21" s="168">
        <v>39</v>
      </c>
      <c r="B21" s="167" t="s">
        <v>95</v>
      </c>
      <c r="C21" s="172">
        <v>340.5</v>
      </c>
      <c r="D21" s="172">
        <v>0</v>
      </c>
      <c r="E21" s="173">
        <v>0</v>
      </c>
      <c r="F21" s="180">
        <v>0</v>
      </c>
      <c r="G21" s="172">
        <v>0</v>
      </c>
      <c r="H21" s="173">
        <v>0</v>
      </c>
      <c r="I21" s="180">
        <v>0</v>
      </c>
      <c r="J21" s="172">
        <v>1328.7</v>
      </c>
      <c r="K21" s="172">
        <v>0</v>
      </c>
      <c r="L21" s="180">
        <v>0</v>
      </c>
      <c r="M21" s="313">
        <v>0</v>
      </c>
      <c r="N21" s="313">
        <v>7193.4599999999991</v>
      </c>
      <c r="O21" s="313">
        <v>0</v>
      </c>
      <c r="P21" s="313">
        <v>0</v>
      </c>
      <c r="Q21" s="313">
        <v>0</v>
      </c>
      <c r="R21" s="313">
        <v>0</v>
      </c>
      <c r="S21" s="172">
        <v>0</v>
      </c>
      <c r="T21" s="180">
        <v>0</v>
      </c>
      <c r="U21" s="172">
        <v>0</v>
      </c>
      <c r="V21" s="180">
        <v>0</v>
      </c>
    </row>
    <row r="22" spans="1:22" x14ac:dyDescent="0.25">
      <c r="A22" s="170">
        <v>40</v>
      </c>
      <c r="B22" s="171" t="s">
        <v>96</v>
      </c>
      <c r="C22" s="178">
        <v>2717.784377469</v>
      </c>
      <c r="D22" s="178">
        <v>0</v>
      </c>
      <c r="E22" s="179">
        <v>1064.0017190249998</v>
      </c>
      <c r="F22" s="182">
        <v>0</v>
      </c>
      <c r="G22" s="178">
        <v>0</v>
      </c>
      <c r="H22" s="179">
        <v>10715.634252539998</v>
      </c>
      <c r="I22" s="182">
        <v>0</v>
      </c>
      <c r="J22" s="178">
        <v>11288.35863225</v>
      </c>
      <c r="K22" s="178">
        <v>0</v>
      </c>
      <c r="L22" s="182">
        <v>2177.1746098199997</v>
      </c>
      <c r="M22" s="314">
        <v>0</v>
      </c>
      <c r="N22" s="314">
        <v>50076.487837074994</v>
      </c>
      <c r="O22" s="314">
        <v>0</v>
      </c>
      <c r="P22" s="314">
        <v>0</v>
      </c>
      <c r="Q22" s="314">
        <v>0</v>
      </c>
      <c r="R22" s="314">
        <v>0</v>
      </c>
      <c r="S22" s="178">
        <v>0</v>
      </c>
      <c r="T22" s="182">
        <v>4168.34802657</v>
      </c>
      <c r="U22" s="178">
        <v>0</v>
      </c>
      <c r="V22" s="182">
        <v>4245.8327604000015</v>
      </c>
    </row>
    <row r="23" spans="1:22" x14ac:dyDescent="0.25">
      <c r="A23" s="170">
        <v>41</v>
      </c>
      <c r="B23" s="171" t="s">
        <v>97</v>
      </c>
      <c r="C23" s="178">
        <v>2919.7250000000004</v>
      </c>
      <c r="D23" s="178"/>
      <c r="E23" s="179">
        <v>37527.522000000004</v>
      </c>
      <c r="F23" s="182"/>
      <c r="G23" s="178"/>
      <c r="H23" s="179">
        <v>155917.38699999999</v>
      </c>
      <c r="I23" s="182"/>
      <c r="J23" s="178">
        <v>2453.998</v>
      </c>
      <c r="K23" s="178"/>
      <c r="L23" s="182">
        <v>7005.1689999999999</v>
      </c>
      <c r="M23" s="314"/>
      <c r="N23" s="314">
        <v>335638.71899999998</v>
      </c>
      <c r="O23" s="314"/>
      <c r="P23" s="314"/>
      <c r="Q23" s="314"/>
      <c r="R23" s="314"/>
      <c r="S23" s="178"/>
      <c r="T23" s="182">
        <v>2190.837</v>
      </c>
      <c r="U23" s="178"/>
      <c r="V23" s="182">
        <v>5884.4740000000002</v>
      </c>
    </row>
    <row r="24" spans="1:22" x14ac:dyDescent="0.25">
      <c r="A24" s="170">
        <v>42</v>
      </c>
      <c r="B24" s="171" t="s">
        <v>98</v>
      </c>
      <c r="C24" s="178">
        <v>1208.73325</v>
      </c>
      <c r="D24" s="178">
        <v>0</v>
      </c>
      <c r="E24" s="179">
        <v>708.85529999999994</v>
      </c>
      <c r="F24" s="182">
        <v>0</v>
      </c>
      <c r="G24" s="178">
        <v>0</v>
      </c>
      <c r="H24" s="179">
        <v>7532.0501999999997</v>
      </c>
      <c r="I24" s="182">
        <v>0</v>
      </c>
      <c r="J24" s="178">
        <v>6724.1358</v>
      </c>
      <c r="K24" s="178">
        <v>0</v>
      </c>
      <c r="L24" s="182">
        <v>1385.2824000000001</v>
      </c>
      <c r="M24" s="314">
        <v>0</v>
      </c>
      <c r="N24" s="314">
        <v>29245.749599999999</v>
      </c>
      <c r="O24" s="314">
        <v>0</v>
      </c>
      <c r="P24" s="314">
        <v>0</v>
      </c>
      <c r="Q24" s="314">
        <v>0</v>
      </c>
      <c r="R24" s="314">
        <v>0</v>
      </c>
      <c r="S24" s="178">
        <v>0</v>
      </c>
      <c r="T24" s="182">
        <v>2059.38</v>
      </c>
      <c r="U24" s="178">
        <v>0</v>
      </c>
      <c r="V24" s="182">
        <v>2745.3372000000004</v>
      </c>
    </row>
    <row r="25" spans="1:22" x14ac:dyDescent="0.25">
      <c r="A25" s="168">
        <v>46</v>
      </c>
      <c r="B25" s="167" t="s">
        <v>99</v>
      </c>
      <c r="C25" s="172">
        <v>0</v>
      </c>
      <c r="D25" s="172">
        <v>0</v>
      </c>
      <c r="E25" s="173">
        <v>0</v>
      </c>
      <c r="F25" s="180">
        <v>0</v>
      </c>
      <c r="G25" s="172">
        <v>0</v>
      </c>
      <c r="H25" s="173">
        <v>0</v>
      </c>
      <c r="I25" s="180">
        <v>0</v>
      </c>
      <c r="J25" s="172">
        <v>0</v>
      </c>
      <c r="K25" s="172">
        <v>0</v>
      </c>
      <c r="L25" s="180">
        <v>0</v>
      </c>
      <c r="M25" s="313">
        <v>0</v>
      </c>
      <c r="N25" s="313">
        <v>0</v>
      </c>
      <c r="O25" s="313">
        <v>0</v>
      </c>
      <c r="P25" s="313">
        <v>0</v>
      </c>
      <c r="Q25" s="313">
        <v>0</v>
      </c>
      <c r="R25" s="313">
        <v>0</v>
      </c>
      <c r="S25" s="172">
        <v>0</v>
      </c>
      <c r="T25" s="180">
        <v>0</v>
      </c>
      <c r="U25" s="172">
        <v>0</v>
      </c>
      <c r="V25" s="180">
        <v>0</v>
      </c>
    </row>
    <row r="26" spans="1:22" x14ac:dyDescent="0.25">
      <c r="A26" s="168">
        <v>49</v>
      </c>
      <c r="B26" s="167" t="s">
        <v>100</v>
      </c>
      <c r="C26" s="172">
        <v>0</v>
      </c>
      <c r="D26" s="172">
        <v>0</v>
      </c>
      <c r="E26" s="173">
        <v>0</v>
      </c>
      <c r="F26" s="180">
        <v>0</v>
      </c>
      <c r="G26" s="172">
        <v>0</v>
      </c>
      <c r="H26" s="173">
        <v>0</v>
      </c>
      <c r="I26" s="180">
        <v>0</v>
      </c>
      <c r="J26" s="172">
        <v>0</v>
      </c>
      <c r="K26" s="172">
        <v>0</v>
      </c>
      <c r="L26" s="180">
        <v>0</v>
      </c>
      <c r="M26" s="313">
        <v>0</v>
      </c>
      <c r="N26" s="313">
        <v>0</v>
      </c>
      <c r="O26" s="313">
        <v>0</v>
      </c>
      <c r="P26" s="313">
        <v>0</v>
      </c>
      <c r="Q26" s="313">
        <v>0</v>
      </c>
      <c r="R26" s="313">
        <v>0</v>
      </c>
      <c r="S26" s="172">
        <v>0</v>
      </c>
      <c r="T26" s="180">
        <v>0</v>
      </c>
      <c r="U26" s="172">
        <v>0</v>
      </c>
      <c r="V26" s="180">
        <v>0</v>
      </c>
    </row>
    <row r="27" spans="1:22" x14ac:dyDescent="0.25">
      <c r="A27" s="168">
        <v>50</v>
      </c>
      <c r="B27" s="167" t="s">
        <v>101</v>
      </c>
      <c r="C27" s="172">
        <v>1126.8050000000001</v>
      </c>
      <c r="D27" s="172">
        <v>0</v>
      </c>
      <c r="E27" s="173">
        <v>11814.254999999999</v>
      </c>
      <c r="F27" s="180">
        <v>0</v>
      </c>
      <c r="G27" s="172">
        <v>0</v>
      </c>
      <c r="H27" s="173">
        <v>52410.61</v>
      </c>
      <c r="I27" s="180">
        <v>0</v>
      </c>
      <c r="J27" s="172">
        <v>44559.930000000008</v>
      </c>
      <c r="K27" s="172">
        <v>0</v>
      </c>
      <c r="L27" s="180">
        <v>23088.04</v>
      </c>
      <c r="M27" s="313">
        <v>0</v>
      </c>
      <c r="N27" s="313">
        <v>130197.33000000002</v>
      </c>
      <c r="O27" s="313">
        <v>0</v>
      </c>
      <c r="P27" s="313">
        <v>0</v>
      </c>
      <c r="Q27" s="313">
        <v>0</v>
      </c>
      <c r="R27" s="313">
        <v>0</v>
      </c>
      <c r="S27" s="172">
        <v>0</v>
      </c>
      <c r="T27" s="180">
        <v>34323</v>
      </c>
      <c r="U27" s="172">
        <v>0</v>
      </c>
      <c r="V27" s="180">
        <v>45755.62000000001</v>
      </c>
    </row>
    <row r="28" spans="1:22" x14ac:dyDescent="0.25">
      <c r="A28" s="168">
        <v>51</v>
      </c>
      <c r="B28" s="167" t="s">
        <v>102</v>
      </c>
      <c r="C28" s="172">
        <v>0</v>
      </c>
      <c r="D28" s="172">
        <v>0</v>
      </c>
      <c r="E28" s="173">
        <v>0</v>
      </c>
      <c r="F28" s="180">
        <v>0</v>
      </c>
      <c r="G28" s="172">
        <v>0</v>
      </c>
      <c r="H28" s="173">
        <v>0</v>
      </c>
      <c r="I28" s="180">
        <v>0</v>
      </c>
      <c r="J28" s="172">
        <v>0</v>
      </c>
      <c r="K28" s="172">
        <v>0</v>
      </c>
      <c r="L28" s="180">
        <v>0</v>
      </c>
      <c r="M28" s="313">
        <v>0</v>
      </c>
      <c r="N28" s="313">
        <v>0</v>
      </c>
      <c r="O28" s="313">
        <v>0</v>
      </c>
      <c r="P28" s="313">
        <v>0</v>
      </c>
      <c r="Q28" s="313">
        <v>0</v>
      </c>
      <c r="R28" s="313">
        <v>0</v>
      </c>
      <c r="S28" s="172">
        <v>0</v>
      </c>
      <c r="T28" s="180">
        <v>0</v>
      </c>
      <c r="U28" s="172">
        <v>0</v>
      </c>
      <c r="V28" s="180">
        <v>0</v>
      </c>
    </row>
    <row r="29" spans="1:22" x14ac:dyDescent="0.25">
      <c r="A29" s="168">
        <v>57</v>
      </c>
      <c r="B29" s="167" t="s">
        <v>103</v>
      </c>
      <c r="C29" s="172">
        <v>0</v>
      </c>
      <c r="D29" s="172">
        <v>0</v>
      </c>
      <c r="E29" s="173">
        <v>0</v>
      </c>
      <c r="F29" s="180">
        <v>0</v>
      </c>
      <c r="G29" s="172">
        <v>0</v>
      </c>
      <c r="H29" s="173">
        <v>0</v>
      </c>
      <c r="I29" s="180">
        <v>0</v>
      </c>
      <c r="J29" s="172">
        <v>0</v>
      </c>
      <c r="K29" s="172">
        <v>0</v>
      </c>
      <c r="L29" s="180">
        <v>0</v>
      </c>
      <c r="M29" s="313">
        <v>0</v>
      </c>
      <c r="N29" s="313">
        <v>0</v>
      </c>
      <c r="O29" s="313">
        <v>0</v>
      </c>
      <c r="P29" s="313">
        <v>0</v>
      </c>
      <c r="Q29" s="313">
        <v>0</v>
      </c>
      <c r="R29" s="313">
        <v>0</v>
      </c>
      <c r="S29" s="172">
        <v>0</v>
      </c>
      <c r="T29" s="180">
        <v>0</v>
      </c>
      <c r="U29" s="172">
        <v>0</v>
      </c>
      <c r="V29" s="180">
        <v>0</v>
      </c>
    </row>
    <row r="30" spans="1:22" x14ac:dyDescent="0.25">
      <c r="A30" s="168">
        <v>59</v>
      </c>
      <c r="B30" s="167" t="s">
        <v>104</v>
      </c>
      <c r="C30" s="172">
        <v>23047.86</v>
      </c>
      <c r="D30" s="172">
        <v>0</v>
      </c>
      <c r="E30" s="173">
        <v>0</v>
      </c>
      <c r="F30" s="180">
        <v>0</v>
      </c>
      <c r="G30" s="172">
        <v>0</v>
      </c>
      <c r="H30" s="173">
        <v>73123.56</v>
      </c>
      <c r="I30" s="180">
        <v>0</v>
      </c>
      <c r="J30" s="172">
        <v>67509</v>
      </c>
      <c r="K30" s="172">
        <v>0</v>
      </c>
      <c r="L30" s="180">
        <v>0</v>
      </c>
      <c r="M30" s="313">
        <v>0</v>
      </c>
      <c r="N30" s="313">
        <v>357231.82999999996</v>
      </c>
      <c r="O30" s="313">
        <v>0</v>
      </c>
      <c r="P30" s="313">
        <v>0</v>
      </c>
      <c r="Q30" s="313">
        <v>0</v>
      </c>
      <c r="R30" s="313">
        <v>0</v>
      </c>
      <c r="S30" s="172">
        <v>0</v>
      </c>
      <c r="T30" s="180">
        <v>0</v>
      </c>
      <c r="U30" s="172">
        <v>0</v>
      </c>
      <c r="V30" s="180">
        <v>0</v>
      </c>
    </row>
    <row r="31" spans="1:22" x14ac:dyDescent="0.25">
      <c r="A31" s="168">
        <v>60</v>
      </c>
      <c r="B31" s="167" t="s">
        <v>105</v>
      </c>
      <c r="C31" s="172">
        <v>11168.096313000002</v>
      </c>
      <c r="D31" s="172">
        <v>0</v>
      </c>
      <c r="E31" s="173">
        <v>4315.805875</v>
      </c>
      <c r="F31" s="180">
        <v>0</v>
      </c>
      <c r="G31" s="172">
        <v>0</v>
      </c>
      <c r="H31" s="173">
        <v>35398.212379999997</v>
      </c>
      <c r="I31" s="180">
        <v>0</v>
      </c>
      <c r="J31" s="172">
        <v>52158.529949999996</v>
      </c>
      <c r="K31" s="172">
        <v>0</v>
      </c>
      <c r="L31" s="180">
        <v>10085.004739999997</v>
      </c>
      <c r="M31" s="313">
        <v>0</v>
      </c>
      <c r="N31" s="313">
        <v>154266.89662499999</v>
      </c>
      <c r="O31" s="313">
        <v>0</v>
      </c>
      <c r="P31" s="313">
        <v>0</v>
      </c>
      <c r="Q31" s="313">
        <v>0</v>
      </c>
      <c r="R31" s="313">
        <v>0</v>
      </c>
      <c r="S31" s="172">
        <v>0</v>
      </c>
      <c r="T31" s="180">
        <v>20281.644390000005</v>
      </c>
      <c r="U31" s="172">
        <v>0</v>
      </c>
      <c r="V31" s="180">
        <v>17393.213600000003</v>
      </c>
    </row>
    <row r="32" spans="1:22" x14ac:dyDescent="0.25">
      <c r="A32" s="168">
        <v>66</v>
      </c>
      <c r="B32" s="167" t="s">
        <v>106</v>
      </c>
      <c r="C32" s="172">
        <v>0</v>
      </c>
      <c r="D32" s="172">
        <v>0</v>
      </c>
      <c r="E32" s="173">
        <v>0</v>
      </c>
      <c r="F32" s="180">
        <v>0</v>
      </c>
      <c r="G32" s="172">
        <v>0</v>
      </c>
      <c r="H32" s="173">
        <v>0</v>
      </c>
      <c r="I32" s="180">
        <v>0</v>
      </c>
      <c r="J32" s="172">
        <v>0</v>
      </c>
      <c r="K32" s="172">
        <v>0</v>
      </c>
      <c r="L32" s="180">
        <v>0</v>
      </c>
      <c r="M32" s="313">
        <v>0</v>
      </c>
      <c r="N32" s="313">
        <v>100</v>
      </c>
      <c r="O32" s="313">
        <v>0</v>
      </c>
      <c r="P32" s="313">
        <v>0</v>
      </c>
      <c r="Q32" s="313">
        <v>0</v>
      </c>
      <c r="R32" s="313">
        <v>0</v>
      </c>
      <c r="S32" s="172">
        <v>0</v>
      </c>
      <c r="T32" s="180">
        <v>0</v>
      </c>
      <c r="U32" s="172">
        <v>0</v>
      </c>
      <c r="V32" s="180">
        <v>0</v>
      </c>
    </row>
    <row r="33" spans="1:22" x14ac:dyDescent="0.25">
      <c r="A33" s="168">
        <v>67</v>
      </c>
      <c r="B33" s="167" t="s">
        <v>107</v>
      </c>
      <c r="C33" s="172">
        <v>0</v>
      </c>
      <c r="D33" s="172">
        <v>0</v>
      </c>
      <c r="E33" s="173">
        <v>0</v>
      </c>
      <c r="F33" s="180">
        <v>0</v>
      </c>
      <c r="G33" s="172">
        <v>0</v>
      </c>
      <c r="H33" s="173">
        <v>0</v>
      </c>
      <c r="I33" s="180">
        <v>0</v>
      </c>
      <c r="J33" s="172">
        <v>0</v>
      </c>
      <c r="K33" s="172">
        <v>0</v>
      </c>
      <c r="L33" s="180">
        <v>0</v>
      </c>
      <c r="M33" s="313">
        <v>0</v>
      </c>
      <c r="N33" s="313">
        <v>0</v>
      </c>
      <c r="O33" s="313">
        <v>0</v>
      </c>
      <c r="P33" s="313">
        <v>0</v>
      </c>
      <c r="Q33" s="313">
        <v>0</v>
      </c>
      <c r="R33" s="313">
        <v>0</v>
      </c>
      <c r="S33" s="172">
        <v>0</v>
      </c>
      <c r="T33" s="180">
        <v>500</v>
      </c>
      <c r="U33" s="172">
        <v>0</v>
      </c>
      <c r="V33" s="180">
        <v>0</v>
      </c>
    </row>
    <row r="34" spans="1:22" x14ac:dyDescent="0.25">
      <c r="A34" s="168">
        <v>68</v>
      </c>
      <c r="B34" s="167" t="s">
        <v>108</v>
      </c>
      <c r="C34" s="172">
        <v>0</v>
      </c>
      <c r="D34" s="172">
        <v>0</v>
      </c>
      <c r="E34" s="173">
        <v>0</v>
      </c>
      <c r="F34" s="180">
        <v>0</v>
      </c>
      <c r="G34" s="172">
        <v>0</v>
      </c>
      <c r="H34" s="173">
        <v>0</v>
      </c>
      <c r="I34" s="180">
        <v>0</v>
      </c>
      <c r="J34" s="172">
        <v>0</v>
      </c>
      <c r="K34" s="172">
        <v>0</v>
      </c>
      <c r="L34" s="180">
        <v>0</v>
      </c>
      <c r="M34" s="313">
        <v>0</v>
      </c>
      <c r="N34" s="313">
        <v>0</v>
      </c>
      <c r="O34" s="313">
        <v>0</v>
      </c>
      <c r="P34" s="313">
        <v>0</v>
      </c>
      <c r="Q34" s="313">
        <v>0</v>
      </c>
      <c r="R34" s="313">
        <v>0</v>
      </c>
      <c r="S34" s="172">
        <v>0</v>
      </c>
      <c r="T34" s="180">
        <v>0</v>
      </c>
      <c r="U34" s="172">
        <v>0</v>
      </c>
      <c r="V34" s="180">
        <v>0</v>
      </c>
    </row>
    <row r="35" spans="1:22" x14ac:dyDescent="0.25">
      <c r="A35" s="168">
        <v>70</v>
      </c>
      <c r="B35" s="167" t="s">
        <v>109</v>
      </c>
      <c r="C35" s="172">
        <v>0</v>
      </c>
      <c r="D35" s="172">
        <v>0</v>
      </c>
      <c r="E35" s="173">
        <v>0</v>
      </c>
      <c r="F35" s="180">
        <v>0</v>
      </c>
      <c r="G35" s="172">
        <v>0</v>
      </c>
      <c r="H35" s="173">
        <v>1000</v>
      </c>
      <c r="I35" s="180">
        <v>0</v>
      </c>
      <c r="J35" s="172">
        <v>0</v>
      </c>
      <c r="K35" s="172">
        <v>0</v>
      </c>
      <c r="L35" s="180">
        <v>0</v>
      </c>
      <c r="M35" s="313">
        <v>0</v>
      </c>
      <c r="N35" s="313">
        <v>2300</v>
      </c>
      <c r="O35" s="313">
        <v>0</v>
      </c>
      <c r="P35" s="313">
        <v>0</v>
      </c>
      <c r="Q35" s="313">
        <v>0</v>
      </c>
      <c r="R35" s="313">
        <v>0</v>
      </c>
      <c r="S35" s="172">
        <v>0</v>
      </c>
      <c r="T35" s="180">
        <v>2400</v>
      </c>
      <c r="U35" s="172">
        <v>0</v>
      </c>
      <c r="V35" s="180">
        <v>200</v>
      </c>
    </row>
    <row r="36" spans="1:22" x14ac:dyDescent="0.25">
      <c r="A36" s="168">
        <v>71</v>
      </c>
      <c r="B36" s="167" t="s">
        <v>110</v>
      </c>
      <c r="C36" s="172">
        <v>0</v>
      </c>
      <c r="D36" s="172">
        <v>0</v>
      </c>
      <c r="E36" s="173">
        <v>0</v>
      </c>
      <c r="F36" s="180">
        <v>0</v>
      </c>
      <c r="G36" s="172">
        <v>0</v>
      </c>
      <c r="H36" s="173">
        <v>0</v>
      </c>
      <c r="I36" s="180">
        <v>0</v>
      </c>
      <c r="J36" s="172">
        <v>0</v>
      </c>
      <c r="K36" s="172">
        <v>0</v>
      </c>
      <c r="L36" s="180">
        <v>0</v>
      </c>
      <c r="M36" s="313">
        <v>0</v>
      </c>
      <c r="N36" s="313">
        <v>0</v>
      </c>
      <c r="O36" s="313">
        <v>0</v>
      </c>
      <c r="P36" s="313">
        <v>0</v>
      </c>
      <c r="Q36" s="313">
        <v>0</v>
      </c>
      <c r="R36" s="313">
        <v>0</v>
      </c>
      <c r="S36" s="172">
        <v>0</v>
      </c>
      <c r="T36" s="180">
        <v>0</v>
      </c>
      <c r="U36" s="172">
        <v>0</v>
      </c>
      <c r="V36" s="180">
        <v>0</v>
      </c>
    </row>
    <row r="37" spans="1:22" x14ac:dyDescent="0.25">
      <c r="A37" s="168">
        <v>72</v>
      </c>
      <c r="B37" s="167" t="s">
        <v>111</v>
      </c>
      <c r="C37" s="172">
        <v>1612850.6400000001</v>
      </c>
      <c r="D37" s="172">
        <v>3223411.7399999984</v>
      </c>
      <c r="E37" s="173">
        <v>0</v>
      </c>
      <c r="F37" s="180">
        <v>1094502.6400000001</v>
      </c>
      <c r="G37" s="172">
        <v>92885263.110000029</v>
      </c>
      <c r="H37" s="173">
        <v>0</v>
      </c>
      <c r="I37" s="180">
        <v>5021372.0599999996</v>
      </c>
      <c r="J37" s="172">
        <v>327072.3600000001</v>
      </c>
      <c r="K37" s="172">
        <v>1403564.04</v>
      </c>
      <c r="L37" s="180">
        <v>0</v>
      </c>
      <c r="M37" s="313">
        <v>301650983.81</v>
      </c>
      <c r="N37" s="313">
        <v>0</v>
      </c>
      <c r="O37" s="313">
        <v>3810101</v>
      </c>
      <c r="P37" s="313">
        <v>2500000</v>
      </c>
      <c r="Q37" s="313">
        <v>1051684</v>
      </c>
      <c r="R37" s="313">
        <v>2359000</v>
      </c>
      <c r="S37" s="172">
        <v>1641946.74</v>
      </c>
      <c r="T37" s="180">
        <v>0</v>
      </c>
      <c r="U37" s="172">
        <v>985287.91999999993</v>
      </c>
      <c r="V37" s="180">
        <v>0</v>
      </c>
    </row>
    <row r="38" spans="1:22" x14ac:dyDescent="0.25">
      <c r="A38" s="168">
        <v>73</v>
      </c>
      <c r="B38" s="167" t="s">
        <v>112</v>
      </c>
      <c r="C38" s="172">
        <v>0</v>
      </c>
      <c r="D38" s="172">
        <v>0</v>
      </c>
      <c r="E38" s="173">
        <v>0</v>
      </c>
      <c r="F38" s="180">
        <v>0</v>
      </c>
      <c r="G38" s="172">
        <v>0</v>
      </c>
      <c r="H38" s="173">
        <v>0</v>
      </c>
      <c r="I38" s="180">
        <v>0</v>
      </c>
      <c r="J38" s="172">
        <v>0</v>
      </c>
      <c r="K38" s="172">
        <v>0</v>
      </c>
      <c r="L38" s="180">
        <v>0</v>
      </c>
      <c r="M38" s="313">
        <v>0</v>
      </c>
      <c r="N38" s="313">
        <v>0</v>
      </c>
      <c r="O38" s="313">
        <v>0</v>
      </c>
      <c r="P38" s="313">
        <v>0</v>
      </c>
      <c r="Q38" s="313">
        <v>0</v>
      </c>
      <c r="R38" s="313">
        <v>0</v>
      </c>
      <c r="S38" s="172">
        <v>0</v>
      </c>
      <c r="T38" s="180">
        <v>0</v>
      </c>
      <c r="U38" s="172">
        <v>0</v>
      </c>
      <c r="V38" s="180">
        <v>0</v>
      </c>
    </row>
    <row r="39" spans="1:22" x14ac:dyDescent="0.25">
      <c r="A39" s="168">
        <v>75</v>
      </c>
      <c r="B39" s="167" t="s">
        <v>113</v>
      </c>
      <c r="C39" s="172">
        <v>0</v>
      </c>
      <c r="D39" s="172">
        <v>0</v>
      </c>
      <c r="E39" s="173">
        <v>0</v>
      </c>
      <c r="F39" s="180">
        <v>0</v>
      </c>
      <c r="G39" s="172">
        <v>0</v>
      </c>
      <c r="H39" s="173">
        <v>0</v>
      </c>
      <c r="I39" s="180">
        <v>0</v>
      </c>
      <c r="J39" s="172">
        <v>0</v>
      </c>
      <c r="K39" s="172">
        <v>0</v>
      </c>
      <c r="L39" s="180">
        <v>0</v>
      </c>
      <c r="M39" s="313">
        <v>0</v>
      </c>
      <c r="N39" s="313">
        <v>0</v>
      </c>
      <c r="O39" s="313">
        <v>0</v>
      </c>
      <c r="P39" s="313">
        <v>0</v>
      </c>
      <c r="Q39" s="313">
        <v>0</v>
      </c>
      <c r="R39" s="313">
        <v>0</v>
      </c>
      <c r="S39" s="172">
        <v>0</v>
      </c>
      <c r="T39" s="180">
        <v>0</v>
      </c>
      <c r="U39" s="172">
        <v>0</v>
      </c>
      <c r="V39" s="180">
        <v>0</v>
      </c>
    </row>
    <row r="40" spans="1:22" x14ac:dyDescent="0.25">
      <c r="A40" s="168">
        <v>80</v>
      </c>
      <c r="B40" s="167" t="s">
        <v>114</v>
      </c>
      <c r="C40" s="172">
        <v>3250</v>
      </c>
      <c r="D40" s="172">
        <v>0</v>
      </c>
      <c r="E40" s="173">
        <v>0</v>
      </c>
      <c r="F40" s="180">
        <v>0</v>
      </c>
      <c r="G40" s="172">
        <v>0</v>
      </c>
      <c r="H40" s="173">
        <v>0</v>
      </c>
      <c r="I40" s="180">
        <v>0</v>
      </c>
      <c r="J40" s="172">
        <v>0</v>
      </c>
      <c r="K40" s="172">
        <v>0</v>
      </c>
      <c r="L40" s="180">
        <v>0</v>
      </c>
      <c r="M40" s="313">
        <v>0</v>
      </c>
      <c r="N40" s="313">
        <v>5500</v>
      </c>
      <c r="O40" s="313">
        <v>0</v>
      </c>
      <c r="P40" s="313">
        <v>0</v>
      </c>
      <c r="Q40" s="313">
        <v>0</v>
      </c>
      <c r="R40" s="313">
        <v>0</v>
      </c>
      <c r="S40" s="172">
        <v>0</v>
      </c>
      <c r="T40" s="180">
        <v>5000</v>
      </c>
      <c r="U40" s="172">
        <v>0</v>
      </c>
      <c r="V40" s="180">
        <v>500</v>
      </c>
    </row>
    <row r="41" spans="1:22" x14ac:dyDescent="0.25">
      <c r="A41" s="168">
        <v>82</v>
      </c>
      <c r="B41" s="167" t="s">
        <v>115</v>
      </c>
      <c r="C41" s="172">
        <v>0</v>
      </c>
      <c r="D41" s="172">
        <v>0</v>
      </c>
      <c r="E41" s="173">
        <v>0</v>
      </c>
      <c r="F41" s="180">
        <v>0</v>
      </c>
      <c r="G41" s="172">
        <v>0</v>
      </c>
      <c r="H41" s="173">
        <v>0</v>
      </c>
      <c r="I41" s="180">
        <v>0</v>
      </c>
      <c r="J41" s="172">
        <v>0</v>
      </c>
      <c r="K41" s="172">
        <v>0</v>
      </c>
      <c r="L41" s="180">
        <v>0</v>
      </c>
      <c r="M41" s="313">
        <v>0</v>
      </c>
      <c r="N41" s="313">
        <v>0</v>
      </c>
      <c r="O41" s="313">
        <v>0</v>
      </c>
      <c r="P41" s="313">
        <v>0</v>
      </c>
      <c r="Q41" s="313">
        <v>0</v>
      </c>
      <c r="R41" s="313">
        <v>0</v>
      </c>
      <c r="S41" s="172">
        <v>0</v>
      </c>
      <c r="T41" s="180">
        <v>0</v>
      </c>
      <c r="U41" s="172">
        <v>0</v>
      </c>
      <c r="V41" s="180">
        <v>0</v>
      </c>
    </row>
    <row r="42" spans="1:22" x14ac:dyDescent="0.25">
      <c r="A42" s="168">
        <v>102</v>
      </c>
      <c r="B42" s="167" t="s">
        <v>116</v>
      </c>
      <c r="C42" s="172">
        <v>347058.33</v>
      </c>
      <c r="D42" s="172">
        <v>0</v>
      </c>
      <c r="E42" s="173">
        <v>0</v>
      </c>
      <c r="F42" s="180">
        <v>159877.40000000002</v>
      </c>
      <c r="G42" s="172">
        <v>0</v>
      </c>
      <c r="H42" s="173">
        <v>0</v>
      </c>
      <c r="I42" s="180">
        <v>1580972.22</v>
      </c>
      <c r="J42" s="172">
        <v>1881602.4500000002</v>
      </c>
      <c r="K42" s="172">
        <v>0</v>
      </c>
      <c r="L42" s="180">
        <v>75696.5</v>
      </c>
      <c r="M42" s="313">
        <v>0</v>
      </c>
      <c r="N42" s="313">
        <v>0</v>
      </c>
      <c r="O42" s="313">
        <v>13649758.43</v>
      </c>
      <c r="P42" s="313">
        <v>1005612</v>
      </c>
      <c r="Q42" s="313">
        <v>2453928</v>
      </c>
      <c r="R42" s="313">
        <v>4691527.9800000004</v>
      </c>
      <c r="S42" s="172">
        <v>0</v>
      </c>
      <c r="T42" s="180">
        <v>445688</v>
      </c>
      <c r="U42" s="172">
        <v>0</v>
      </c>
      <c r="V42" s="180">
        <v>80336</v>
      </c>
    </row>
    <row r="43" spans="1:22" x14ac:dyDescent="0.25">
      <c r="A43" s="168">
        <v>103</v>
      </c>
      <c r="B43" s="167" t="s">
        <v>117</v>
      </c>
      <c r="C43" s="172">
        <v>0</v>
      </c>
      <c r="D43" s="172">
        <v>0</v>
      </c>
      <c r="E43" s="173">
        <v>0</v>
      </c>
      <c r="F43" s="180">
        <v>0</v>
      </c>
      <c r="G43" s="172">
        <v>0</v>
      </c>
      <c r="H43" s="173">
        <v>0</v>
      </c>
      <c r="I43" s="180">
        <v>0</v>
      </c>
      <c r="J43" s="172">
        <v>0</v>
      </c>
      <c r="K43" s="172">
        <v>0</v>
      </c>
      <c r="L43" s="180">
        <v>0</v>
      </c>
      <c r="M43" s="313">
        <v>0</v>
      </c>
      <c r="N43" s="313">
        <v>0</v>
      </c>
      <c r="O43" s="313">
        <v>0</v>
      </c>
      <c r="P43" s="313">
        <v>0</v>
      </c>
      <c r="Q43" s="313">
        <v>0</v>
      </c>
      <c r="R43" s="313">
        <v>0</v>
      </c>
      <c r="S43" s="172">
        <v>0</v>
      </c>
      <c r="T43" s="180">
        <v>0</v>
      </c>
      <c r="U43" s="172">
        <v>0</v>
      </c>
      <c r="V43" s="180">
        <v>0</v>
      </c>
    </row>
    <row r="44" spans="1:22" x14ac:dyDescent="0.25">
      <c r="A44" s="168">
        <v>107</v>
      </c>
      <c r="B44" s="167" t="s">
        <v>118</v>
      </c>
      <c r="C44" s="172">
        <v>0</v>
      </c>
      <c r="D44" s="172">
        <v>0</v>
      </c>
      <c r="E44" s="173">
        <v>0</v>
      </c>
      <c r="F44" s="180">
        <v>0</v>
      </c>
      <c r="G44" s="172">
        <v>0</v>
      </c>
      <c r="H44" s="173">
        <v>0</v>
      </c>
      <c r="I44" s="180">
        <v>0</v>
      </c>
      <c r="J44" s="172">
        <v>0</v>
      </c>
      <c r="K44" s="172">
        <v>0</v>
      </c>
      <c r="L44" s="180">
        <v>0</v>
      </c>
      <c r="M44" s="313">
        <v>0</v>
      </c>
      <c r="N44" s="313">
        <v>0</v>
      </c>
      <c r="O44" s="313">
        <v>0</v>
      </c>
      <c r="P44" s="313">
        <v>0</v>
      </c>
      <c r="Q44" s="313">
        <v>0</v>
      </c>
      <c r="R44" s="313">
        <v>0</v>
      </c>
      <c r="S44" s="172">
        <v>0</v>
      </c>
      <c r="T44" s="180">
        <v>0</v>
      </c>
      <c r="U44" s="172">
        <v>0</v>
      </c>
      <c r="V44" s="180">
        <v>0</v>
      </c>
    </row>
    <row r="45" spans="1:22" x14ac:dyDescent="0.25">
      <c r="A45" s="168">
        <v>230</v>
      </c>
      <c r="B45" s="167" t="s">
        <v>119</v>
      </c>
      <c r="C45" s="172">
        <v>0</v>
      </c>
      <c r="D45" s="172">
        <v>0</v>
      </c>
      <c r="E45" s="173">
        <v>0</v>
      </c>
      <c r="F45" s="180">
        <v>0</v>
      </c>
      <c r="G45" s="172">
        <v>0</v>
      </c>
      <c r="H45" s="173">
        <v>0</v>
      </c>
      <c r="I45" s="180">
        <v>0</v>
      </c>
      <c r="J45" s="172">
        <v>0</v>
      </c>
      <c r="K45" s="172">
        <v>0</v>
      </c>
      <c r="L45" s="180">
        <v>0</v>
      </c>
      <c r="M45" s="313">
        <v>0</v>
      </c>
      <c r="N45" s="313">
        <v>0</v>
      </c>
      <c r="O45" s="313">
        <v>0</v>
      </c>
      <c r="P45" s="313">
        <v>0</v>
      </c>
      <c r="Q45" s="313">
        <v>0</v>
      </c>
      <c r="R45" s="313">
        <v>0</v>
      </c>
      <c r="S45" s="172">
        <v>0</v>
      </c>
      <c r="T45" s="180">
        <v>0</v>
      </c>
      <c r="U45" s="172">
        <v>0</v>
      </c>
      <c r="V45" s="180">
        <v>0</v>
      </c>
    </row>
    <row r="46" spans="1:22" x14ac:dyDescent="0.25">
      <c r="A46" s="168">
        <v>235</v>
      </c>
      <c r="B46" s="167" t="s">
        <v>120</v>
      </c>
      <c r="C46" s="172">
        <v>0</v>
      </c>
      <c r="D46" s="172">
        <v>0</v>
      </c>
      <c r="E46" s="173">
        <v>0</v>
      </c>
      <c r="F46" s="180">
        <v>0</v>
      </c>
      <c r="G46" s="172">
        <v>0</v>
      </c>
      <c r="H46" s="173">
        <v>0</v>
      </c>
      <c r="I46" s="180">
        <v>0</v>
      </c>
      <c r="J46" s="172">
        <v>0</v>
      </c>
      <c r="K46" s="172">
        <v>0</v>
      </c>
      <c r="L46" s="180">
        <v>0</v>
      </c>
      <c r="M46" s="313">
        <v>0</v>
      </c>
      <c r="N46" s="313">
        <v>0</v>
      </c>
      <c r="O46" s="313">
        <v>0</v>
      </c>
      <c r="P46" s="313">
        <v>0</v>
      </c>
      <c r="Q46" s="313">
        <v>0</v>
      </c>
      <c r="R46" s="313">
        <v>0</v>
      </c>
      <c r="S46" s="172">
        <v>0</v>
      </c>
      <c r="T46" s="180">
        <v>0</v>
      </c>
      <c r="U46" s="172">
        <v>0</v>
      </c>
      <c r="V46" s="180">
        <v>0</v>
      </c>
    </row>
    <row r="47" spans="1:22" x14ac:dyDescent="0.25">
      <c r="A47" s="168">
        <v>601</v>
      </c>
      <c r="B47" s="167" t="s">
        <v>121</v>
      </c>
      <c r="C47" s="172">
        <v>0</v>
      </c>
      <c r="D47" s="172">
        <v>0</v>
      </c>
      <c r="E47" s="173">
        <v>0</v>
      </c>
      <c r="F47" s="180">
        <v>0</v>
      </c>
      <c r="G47" s="172">
        <v>0</v>
      </c>
      <c r="H47" s="173">
        <v>0</v>
      </c>
      <c r="I47" s="180">
        <v>0</v>
      </c>
      <c r="J47" s="172">
        <v>0</v>
      </c>
      <c r="K47" s="172">
        <v>0</v>
      </c>
      <c r="L47" s="180">
        <v>0</v>
      </c>
      <c r="M47" s="313">
        <v>0</v>
      </c>
      <c r="N47" s="313">
        <v>0</v>
      </c>
      <c r="O47" s="313">
        <v>0</v>
      </c>
      <c r="P47" s="313">
        <v>0</v>
      </c>
      <c r="Q47" s="313">
        <v>0</v>
      </c>
      <c r="R47" s="313">
        <v>0</v>
      </c>
      <c r="S47" s="172">
        <v>0</v>
      </c>
      <c r="T47" s="180">
        <v>0</v>
      </c>
      <c r="U47" s="172">
        <v>0</v>
      </c>
      <c r="V47" s="180">
        <v>0</v>
      </c>
    </row>
    <row r="48" spans="1:22" x14ac:dyDescent="0.25">
      <c r="A48" s="168">
        <v>602</v>
      </c>
      <c r="B48" s="167" t="s">
        <v>122</v>
      </c>
      <c r="C48" s="172">
        <v>0</v>
      </c>
      <c r="D48" s="172">
        <v>0</v>
      </c>
      <c r="E48" s="173">
        <v>0</v>
      </c>
      <c r="F48" s="180">
        <v>0</v>
      </c>
      <c r="G48" s="172">
        <v>0</v>
      </c>
      <c r="H48" s="173">
        <v>0</v>
      </c>
      <c r="I48" s="180">
        <v>0</v>
      </c>
      <c r="J48" s="172">
        <v>0</v>
      </c>
      <c r="K48" s="172">
        <v>0</v>
      </c>
      <c r="L48" s="180">
        <v>0</v>
      </c>
      <c r="M48" s="313">
        <v>0</v>
      </c>
      <c r="N48" s="313">
        <v>0</v>
      </c>
      <c r="O48" s="313">
        <v>0</v>
      </c>
      <c r="P48" s="313">
        <v>0</v>
      </c>
      <c r="Q48" s="313">
        <v>0</v>
      </c>
      <c r="R48" s="313">
        <v>0</v>
      </c>
      <c r="S48" s="172">
        <v>0</v>
      </c>
      <c r="T48" s="180">
        <v>0</v>
      </c>
      <c r="U48" s="172">
        <v>0</v>
      </c>
      <c r="V48" s="180">
        <v>0</v>
      </c>
    </row>
    <row r="49" spans="1:22" x14ac:dyDescent="0.25">
      <c r="A49" s="168">
        <v>603</v>
      </c>
      <c r="B49" s="167" t="s">
        <v>123</v>
      </c>
      <c r="C49" s="172">
        <v>0</v>
      </c>
      <c r="D49" s="172">
        <v>0</v>
      </c>
      <c r="E49" s="173">
        <v>0</v>
      </c>
      <c r="F49" s="180">
        <v>0</v>
      </c>
      <c r="G49" s="172">
        <v>0</v>
      </c>
      <c r="H49" s="173">
        <v>0</v>
      </c>
      <c r="I49" s="180">
        <v>0</v>
      </c>
      <c r="J49" s="172">
        <v>0</v>
      </c>
      <c r="K49" s="172">
        <v>0</v>
      </c>
      <c r="L49" s="180">
        <v>0</v>
      </c>
      <c r="M49" s="313">
        <v>0</v>
      </c>
      <c r="N49" s="313">
        <v>0</v>
      </c>
      <c r="O49" s="313">
        <v>0</v>
      </c>
      <c r="P49" s="313">
        <v>0</v>
      </c>
      <c r="Q49" s="313">
        <v>0</v>
      </c>
      <c r="R49" s="313">
        <v>0</v>
      </c>
      <c r="S49" s="172">
        <v>0</v>
      </c>
      <c r="T49" s="180">
        <v>0</v>
      </c>
      <c r="U49" s="172">
        <v>0</v>
      </c>
      <c r="V49" s="180">
        <v>0</v>
      </c>
    </row>
    <row r="50" spans="1:22" x14ac:dyDescent="0.25">
      <c r="A50" s="168">
        <v>604</v>
      </c>
      <c r="B50" s="167" t="s">
        <v>124</v>
      </c>
      <c r="C50" s="174">
        <v>0</v>
      </c>
      <c r="D50" s="174">
        <v>0</v>
      </c>
      <c r="E50" s="175">
        <v>0</v>
      </c>
      <c r="F50" s="181">
        <v>0</v>
      </c>
      <c r="G50" s="174">
        <v>0</v>
      </c>
      <c r="H50" s="175">
        <v>0</v>
      </c>
      <c r="I50" s="181">
        <v>0</v>
      </c>
      <c r="J50" s="174">
        <v>0</v>
      </c>
      <c r="K50" s="174">
        <v>0</v>
      </c>
      <c r="L50" s="181">
        <v>0</v>
      </c>
      <c r="M50" s="315">
        <v>0</v>
      </c>
      <c r="N50" s="315">
        <v>0</v>
      </c>
      <c r="O50" s="315">
        <v>0</v>
      </c>
      <c r="P50" s="315">
        <v>0</v>
      </c>
      <c r="Q50" s="315">
        <v>0</v>
      </c>
      <c r="R50" s="315">
        <v>0</v>
      </c>
      <c r="S50" s="174">
        <v>0</v>
      </c>
      <c r="T50" s="181">
        <v>0</v>
      </c>
      <c r="U50" s="174">
        <v>0</v>
      </c>
      <c r="V50" s="181">
        <v>0</v>
      </c>
    </row>
    <row r="51" spans="1:22" ht="15.75" thickBot="1" x14ac:dyDescent="0.3">
      <c r="A51" s="183"/>
      <c r="B51" s="184" t="s">
        <v>125</v>
      </c>
      <c r="C51" s="195">
        <f>SUM(C7:C50)</f>
        <v>2009435.9139404693</v>
      </c>
      <c r="D51" s="193">
        <f t="shared" ref="D51:L51" si="0">SUM(D7:D50)</f>
        <v>3223411.7399999984</v>
      </c>
      <c r="E51" s="185">
        <f t="shared" si="0"/>
        <v>57995.439894025003</v>
      </c>
      <c r="F51" s="186">
        <f t="shared" si="0"/>
        <v>1254380.04</v>
      </c>
      <c r="G51" s="193">
        <f t="shared" si="0"/>
        <v>92885263.110000029</v>
      </c>
      <c r="H51" s="185">
        <f t="shared" si="0"/>
        <v>386487.92383253993</v>
      </c>
      <c r="I51" s="186">
        <f t="shared" si="0"/>
        <v>6602344.2799999993</v>
      </c>
      <c r="J51" s="195">
        <f t="shared" si="0"/>
        <v>2406072.4623822505</v>
      </c>
      <c r="K51" s="195">
        <f t="shared" si="0"/>
        <v>1403564.04</v>
      </c>
      <c r="L51" s="186">
        <f t="shared" si="0"/>
        <v>121437.17074982</v>
      </c>
      <c r="M51" s="193">
        <f t="shared" ref="M51:T51" si="1">SUM(M7:M50)</f>
        <v>301650983.81</v>
      </c>
      <c r="N51" s="185">
        <f t="shared" si="1"/>
        <v>1210148.8330620748</v>
      </c>
      <c r="O51" s="185">
        <f t="shared" si="1"/>
        <v>17459859.43</v>
      </c>
      <c r="P51" s="185">
        <f t="shared" si="1"/>
        <v>3505612</v>
      </c>
      <c r="Q51" s="185">
        <f t="shared" si="1"/>
        <v>3505612</v>
      </c>
      <c r="R51" s="186">
        <f t="shared" si="1"/>
        <v>7050527.9800000004</v>
      </c>
      <c r="S51" s="195">
        <f t="shared" si="1"/>
        <v>1641946.74</v>
      </c>
      <c r="T51" s="186">
        <f t="shared" si="1"/>
        <v>522284.93941657001</v>
      </c>
      <c r="U51" s="195">
        <f>SUM(U7:U50)</f>
        <v>985287.91999999993</v>
      </c>
      <c r="V51" s="186">
        <f>SUM(V7:V50)</f>
        <v>160560.47756040003</v>
      </c>
    </row>
    <row r="52" spans="1:22" ht="15.75" thickTop="1" x14ac:dyDescent="0.25"/>
    <row r="53" spans="1:22" x14ac:dyDescent="0.25">
      <c r="B53" s="169"/>
      <c r="C53" s="190"/>
      <c r="D53" s="190"/>
      <c r="E53" s="176"/>
      <c r="F53" s="176"/>
      <c r="G53" s="190"/>
      <c r="H53" s="190"/>
      <c r="I53" s="190"/>
      <c r="J53" s="190"/>
      <c r="K53" s="176"/>
      <c r="L53" s="176"/>
      <c r="M53" s="190"/>
      <c r="N53" s="176"/>
      <c r="O53" s="176"/>
      <c r="P53" s="176"/>
      <c r="Q53" s="176"/>
      <c r="R53" s="176"/>
    </row>
    <row r="54" spans="1:22" x14ac:dyDescent="0.25">
      <c r="B54" s="169"/>
      <c r="C54" s="191"/>
      <c r="D54" s="191"/>
      <c r="E54" s="177"/>
      <c r="F54" s="177"/>
      <c r="G54" s="191"/>
      <c r="H54" s="191"/>
      <c r="I54" s="191"/>
      <c r="J54" s="191"/>
      <c r="K54" s="177"/>
      <c r="L54" s="177"/>
      <c r="M54" s="191"/>
      <c r="N54" s="177"/>
      <c r="O54" s="177"/>
      <c r="P54" s="177"/>
      <c r="Q54" s="177"/>
      <c r="R54" s="177"/>
    </row>
  </sheetData>
  <mergeCells count="16">
    <mergeCell ref="B1:I1"/>
    <mergeCell ref="D4:F4"/>
    <mergeCell ref="G4:I4"/>
    <mergeCell ref="K4:L4"/>
    <mergeCell ref="D5:F5"/>
    <mergeCell ref="K5:L5"/>
    <mergeCell ref="G5:I5"/>
    <mergeCell ref="D3:F3"/>
    <mergeCell ref="K3:L3"/>
    <mergeCell ref="G3:I3"/>
    <mergeCell ref="U4:V4"/>
    <mergeCell ref="U5:V5"/>
    <mergeCell ref="S4:T4"/>
    <mergeCell ref="S5:T5"/>
    <mergeCell ref="M5:R5"/>
    <mergeCell ref="M4:R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sheetPr>
  <dimension ref="A1:V57"/>
  <sheetViews>
    <sheetView zoomScale="90" zoomScaleNormal="90" workbookViewId="0">
      <pane xSplit="2" ySplit="6" topLeftCell="C7" activePane="bottomRight" state="frozen"/>
      <selection pane="topRight" activeCell="C1" sqref="C1"/>
      <selection pane="bottomLeft" activeCell="A7" sqref="A7"/>
      <selection pane="bottomRight" activeCell="F53" sqref="F53"/>
    </sheetView>
  </sheetViews>
  <sheetFormatPr defaultRowHeight="15" x14ac:dyDescent="0.25"/>
  <cols>
    <col min="1" max="1" width="6.28515625" bestFit="1" customWidth="1"/>
    <col min="2" max="2" width="31.28515625" bestFit="1" customWidth="1"/>
    <col min="3" max="3" width="13.85546875" bestFit="1" customWidth="1"/>
    <col min="4" max="4" width="15" bestFit="1" customWidth="1"/>
    <col min="5" max="5" width="12.140625" bestFit="1" customWidth="1"/>
    <col min="6" max="7" width="15" bestFit="1" customWidth="1"/>
    <col min="8" max="8" width="13.85546875" bestFit="1" customWidth="1"/>
    <col min="9" max="9" width="15" bestFit="1" customWidth="1"/>
    <col min="10" max="10" width="16.140625" bestFit="1" customWidth="1"/>
    <col min="11" max="11" width="13.85546875" bestFit="1" customWidth="1"/>
    <col min="12" max="12" width="15" bestFit="1" customWidth="1"/>
    <col min="13" max="13" width="16.140625" bestFit="1" customWidth="1"/>
    <col min="14" max="14" width="13.85546875" bestFit="1" customWidth="1"/>
    <col min="15" max="15" width="14.140625" bestFit="1" customWidth="1"/>
    <col min="16" max="16" width="16" bestFit="1" customWidth="1"/>
    <col min="17" max="17" width="12.28515625" bestFit="1" customWidth="1"/>
    <col min="18" max="18" width="15" bestFit="1" customWidth="1"/>
    <col min="19" max="19" width="11.5703125" customWidth="1"/>
    <col min="20" max="20" width="17.5703125" customWidth="1"/>
    <col min="21" max="21" width="12.5703125" customWidth="1"/>
    <col min="22" max="22" width="16.140625" customWidth="1"/>
  </cols>
  <sheetData>
    <row r="1" spans="1:22" s="210" customFormat="1" ht="15.75" x14ac:dyDescent="0.25">
      <c r="A1" s="207"/>
      <c r="B1" s="548" t="s">
        <v>194</v>
      </c>
      <c r="C1" s="548"/>
      <c r="D1" s="548"/>
      <c r="E1" s="548"/>
      <c r="F1" s="548"/>
      <c r="G1" s="548"/>
      <c r="H1" s="548"/>
      <c r="I1" s="548"/>
      <c r="J1" s="208"/>
      <c r="K1" s="209"/>
      <c r="L1" s="209"/>
      <c r="M1" s="208"/>
      <c r="N1" s="209"/>
      <c r="O1" s="209"/>
      <c r="P1" s="209"/>
      <c r="Q1" s="209"/>
      <c r="R1" s="209"/>
    </row>
    <row r="2" spans="1:22" s="210" customFormat="1" ht="15.75" x14ac:dyDescent="0.25">
      <c r="A2" s="207"/>
      <c r="B2" s="221" t="s">
        <v>142</v>
      </c>
      <c r="C2" s="264"/>
      <c r="D2" s="264"/>
      <c r="E2" s="264"/>
      <c r="F2" s="264"/>
      <c r="G2" s="264"/>
      <c r="H2" s="264"/>
      <c r="I2" s="264"/>
      <c r="J2" s="208"/>
      <c r="K2" s="209"/>
      <c r="L2" s="209"/>
      <c r="M2" s="208"/>
      <c r="N2" s="209"/>
      <c r="O2" s="209"/>
      <c r="P2" s="209"/>
      <c r="Q2" s="209"/>
      <c r="R2" s="209"/>
    </row>
    <row r="4" spans="1:22" ht="18.75" x14ac:dyDescent="0.3">
      <c r="A4" s="205" t="s">
        <v>193</v>
      </c>
      <c r="C4" s="206" t="s">
        <v>0</v>
      </c>
      <c r="D4" s="545" t="s">
        <v>1</v>
      </c>
      <c r="E4" s="546"/>
      <c r="F4" s="547"/>
      <c r="G4" s="545" t="s">
        <v>3</v>
      </c>
      <c r="H4" s="546"/>
      <c r="I4" s="547"/>
      <c r="J4" s="206" t="s">
        <v>2</v>
      </c>
      <c r="K4" s="534" t="s">
        <v>126</v>
      </c>
      <c r="L4" s="535"/>
      <c r="M4" s="545" t="s">
        <v>128</v>
      </c>
      <c r="N4" s="546"/>
      <c r="O4" s="546"/>
      <c r="P4" s="546"/>
      <c r="Q4" s="546"/>
      <c r="R4" s="547"/>
      <c r="S4" s="534" t="s">
        <v>242</v>
      </c>
      <c r="T4" s="535"/>
      <c r="U4" s="534" t="s">
        <v>268</v>
      </c>
      <c r="V4" s="535"/>
    </row>
    <row r="5" spans="1:22" x14ac:dyDescent="0.25">
      <c r="A5" s="198"/>
      <c r="B5" s="205" t="s">
        <v>192</v>
      </c>
      <c r="C5" s="201" t="s">
        <v>129</v>
      </c>
      <c r="D5" s="542" t="s">
        <v>130</v>
      </c>
      <c r="E5" s="543"/>
      <c r="F5" s="544"/>
      <c r="G5" s="542" t="s">
        <v>133</v>
      </c>
      <c r="H5" s="543"/>
      <c r="I5" s="544"/>
      <c r="J5" s="201" t="s">
        <v>131</v>
      </c>
      <c r="K5" s="536" t="s">
        <v>132</v>
      </c>
      <c r="L5" s="537"/>
      <c r="M5" s="542" t="s">
        <v>187</v>
      </c>
      <c r="N5" s="543"/>
      <c r="O5" s="543"/>
      <c r="P5" s="543"/>
      <c r="Q5" s="543"/>
      <c r="R5" s="544"/>
      <c r="S5" s="536" t="s">
        <v>254</v>
      </c>
      <c r="T5" s="537"/>
      <c r="U5" s="536" t="s">
        <v>276</v>
      </c>
      <c r="V5" s="537"/>
    </row>
    <row r="6" spans="1:22" ht="15.75" x14ac:dyDescent="0.25">
      <c r="A6" s="166"/>
      <c r="B6" s="167"/>
      <c r="C6" s="194" t="s">
        <v>10</v>
      </c>
      <c r="D6" s="192" t="s">
        <v>4</v>
      </c>
      <c r="E6" s="187" t="s">
        <v>10</v>
      </c>
      <c r="F6" s="188" t="s">
        <v>11</v>
      </c>
      <c r="G6" s="192" t="s">
        <v>4</v>
      </c>
      <c r="H6" s="187" t="s">
        <v>10</v>
      </c>
      <c r="I6" s="188" t="s">
        <v>11</v>
      </c>
      <c r="J6" s="194" t="s">
        <v>10</v>
      </c>
      <c r="K6" s="196" t="s">
        <v>11</v>
      </c>
      <c r="L6" s="197" t="s">
        <v>10</v>
      </c>
      <c r="M6" s="192" t="s">
        <v>4</v>
      </c>
      <c r="N6" s="187" t="s">
        <v>10</v>
      </c>
      <c r="O6" s="204" t="s">
        <v>77</v>
      </c>
      <c r="P6" s="204" t="s">
        <v>76</v>
      </c>
      <c r="Q6" s="204" t="s">
        <v>75</v>
      </c>
      <c r="R6" s="188" t="s">
        <v>11</v>
      </c>
      <c r="S6" s="196" t="s">
        <v>4</v>
      </c>
      <c r="T6" s="197" t="s">
        <v>10</v>
      </c>
      <c r="U6" s="196" t="s">
        <v>4</v>
      </c>
      <c r="V6" s="197" t="s">
        <v>10</v>
      </c>
    </row>
    <row r="7" spans="1:22" x14ac:dyDescent="0.25">
      <c r="A7" s="168">
        <v>10</v>
      </c>
      <c r="B7" s="167" t="s">
        <v>81</v>
      </c>
      <c r="C7" s="172">
        <v>0</v>
      </c>
      <c r="D7" s="172">
        <v>0</v>
      </c>
      <c r="E7" s="173">
        <v>0</v>
      </c>
      <c r="F7" s="180">
        <v>0</v>
      </c>
      <c r="G7" s="172">
        <v>0</v>
      </c>
      <c r="H7" s="173">
        <v>0</v>
      </c>
      <c r="I7" s="180">
        <v>0</v>
      </c>
      <c r="J7" s="172">
        <v>0</v>
      </c>
      <c r="K7" s="172">
        <v>0</v>
      </c>
      <c r="L7" s="180">
        <v>0</v>
      </c>
      <c r="M7" s="172">
        <v>0</v>
      </c>
      <c r="N7" s="173">
        <v>0</v>
      </c>
      <c r="O7" s="173">
        <v>0</v>
      </c>
      <c r="P7" s="173">
        <v>0</v>
      </c>
      <c r="Q7" s="173">
        <v>0</v>
      </c>
      <c r="R7" s="180">
        <v>0</v>
      </c>
      <c r="S7" s="172">
        <v>0</v>
      </c>
      <c r="T7" s="180">
        <v>0</v>
      </c>
      <c r="U7" s="172">
        <v>0</v>
      </c>
      <c r="V7" s="180">
        <v>0</v>
      </c>
    </row>
    <row r="8" spans="1:22" x14ac:dyDescent="0.25">
      <c r="A8" s="168">
        <v>18</v>
      </c>
      <c r="B8" s="167" t="s">
        <v>82</v>
      </c>
      <c r="C8" s="172">
        <v>0</v>
      </c>
      <c r="D8" s="172">
        <v>0</v>
      </c>
      <c r="E8" s="173">
        <v>0</v>
      </c>
      <c r="F8" s="180">
        <v>0</v>
      </c>
      <c r="G8" s="172">
        <v>0</v>
      </c>
      <c r="H8" s="173">
        <v>0</v>
      </c>
      <c r="I8" s="180">
        <v>0</v>
      </c>
      <c r="J8" s="172">
        <v>0</v>
      </c>
      <c r="K8" s="172">
        <v>0</v>
      </c>
      <c r="L8" s="180">
        <v>0</v>
      </c>
      <c r="M8" s="172">
        <v>0</v>
      </c>
      <c r="N8" s="173">
        <v>0</v>
      </c>
      <c r="O8" s="173">
        <v>0</v>
      </c>
      <c r="P8" s="173">
        <v>0</v>
      </c>
      <c r="Q8" s="173">
        <v>0</v>
      </c>
      <c r="R8" s="180">
        <v>0</v>
      </c>
      <c r="S8" s="172">
        <v>0</v>
      </c>
      <c r="T8" s="180">
        <v>0</v>
      </c>
      <c r="U8" s="172">
        <v>0</v>
      </c>
      <c r="V8" s="180">
        <v>0</v>
      </c>
    </row>
    <row r="9" spans="1:22" x14ac:dyDescent="0.25">
      <c r="A9" s="168">
        <v>20</v>
      </c>
      <c r="B9" s="167" t="s">
        <v>83</v>
      </c>
      <c r="C9" s="172">
        <v>77.56</v>
      </c>
      <c r="D9" s="172">
        <v>0</v>
      </c>
      <c r="E9" s="173">
        <v>2632.92</v>
      </c>
      <c r="F9" s="180">
        <v>3224.07</v>
      </c>
      <c r="G9" s="172">
        <v>0</v>
      </c>
      <c r="H9" s="173">
        <v>55.96</v>
      </c>
      <c r="I9" s="180">
        <v>0</v>
      </c>
      <c r="J9" s="172">
        <v>47.16</v>
      </c>
      <c r="K9" s="172">
        <v>0</v>
      </c>
      <c r="L9" s="180">
        <v>0</v>
      </c>
      <c r="M9" s="172">
        <v>0</v>
      </c>
      <c r="N9" s="173">
        <v>41.98</v>
      </c>
      <c r="O9" s="173">
        <v>0</v>
      </c>
      <c r="P9" s="173">
        <v>0</v>
      </c>
      <c r="Q9" s="173">
        <v>0</v>
      </c>
      <c r="R9" s="180">
        <v>0</v>
      </c>
      <c r="S9" s="172">
        <v>0</v>
      </c>
      <c r="T9" s="180">
        <v>0</v>
      </c>
      <c r="U9" s="172">
        <v>0</v>
      </c>
      <c r="V9" s="180">
        <v>0</v>
      </c>
    </row>
    <row r="10" spans="1:22" x14ac:dyDescent="0.25">
      <c r="A10" s="168">
        <v>21</v>
      </c>
      <c r="B10" s="167" t="s">
        <v>84</v>
      </c>
      <c r="C10" s="172">
        <v>0</v>
      </c>
      <c r="D10" s="172">
        <v>0</v>
      </c>
      <c r="E10" s="173">
        <v>0</v>
      </c>
      <c r="F10" s="180">
        <v>0</v>
      </c>
      <c r="G10" s="172">
        <v>0</v>
      </c>
      <c r="H10" s="173">
        <v>0</v>
      </c>
      <c r="I10" s="180">
        <v>0</v>
      </c>
      <c r="J10" s="172">
        <v>0</v>
      </c>
      <c r="K10" s="172">
        <v>0</v>
      </c>
      <c r="L10" s="180">
        <v>0</v>
      </c>
      <c r="M10" s="172">
        <v>0</v>
      </c>
      <c r="N10" s="173">
        <v>0</v>
      </c>
      <c r="O10" s="173">
        <v>0</v>
      </c>
      <c r="P10" s="173">
        <v>0</v>
      </c>
      <c r="Q10" s="173">
        <v>0</v>
      </c>
      <c r="R10" s="180">
        <v>0</v>
      </c>
      <c r="S10" s="172">
        <v>0</v>
      </c>
      <c r="T10" s="180">
        <v>0</v>
      </c>
      <c r="U10" s="172">
        <v>0</v>
      </c>
      <c r="V10" s="180">
        <v>0</v>
      </c>
    </row>
    <row r="11" spans="1:22" x14ac:dyDescent="0.25">
      <c r="A11" s="168">
        <v>22</v>
      </c>
      <c r="B11" s="167" t="s">
        <v>85</v>
      </c>
      <c r="C11" s="172">
        <v>0</v>
      </c>
      <c r="D11" s="172">
        <v>0</v>
      </c>
      <c r="E11" s="173">
        <v>0</v>
      </c>
      <c r="F11" s="180">
        <v>0</v>
      </c>
      <c r="G11" s="172">
        <v>0</v>
      </c>
      <c r="H11" s="173">
        <v>0</v>
      </c>
      <c r="I11" s="180">
        <v>0</v>
      </c>
      <c r="J11" s="172">
        <v>0</v>
      </c>
      <c r="K11" s="172">
        <v>0</v>
      </c>
      <c r="L11" s="180">
        <v>0</v>
      </c>
      <c r="M11" s="172">
        <v>0</v>
      </c>
      <c r="N11" s="173">
        <v>0</v>
      </c>
      <c r="O11" s="173">
        <v>0</v>
      </c>
      <c r="P11" s="173">
        <v>0</v>
      </c>
      <c r="Q11" s="173">
        <v>0</v>
      </c>
      <c r="R11" s="180">
        <v>0</v>
      </c>
      <c r="S11" s="172">
        <v>0</v>
      </c>
      <c r="T11" s="180">
        <v>0</v>
      </c>
      <c r="U11" s="172">
        <v>0</v>
      </c>
      <c r="V11" s="180">
        <v>0</v>
      </c>
    </row>
    <row r="12" spans="1:22" x14ac:dyDescent="0.25">
      <c r="A12" s="168">
        <v>23</v>
      </c>
      <c r="B12" s="167" t="s">
        <v>86</v>
      </c>
      <c r="C12" s="172">
        <v>0</v>
      </c>
      <c r="D12" s="172">
        <v>0</v>
      </c>
      <c r="E12" s="173">
        <v>0</v>
      </c>
      <c r="F12" s="180">
        <v>0</v>
      </c>
      <c r="G12" s="172">
        <v>0</v>
      </c>
      <c r="H12" s="173">
        <v>0</v>
      </c>
      <c r="I12" s="180">
        <v>0</v>
      </c>
      <c r="J12" s="172">
        <v>0</v>
      </c>
      <c r="K12" s="172">
        <v>0</v>
      </c>
      <c r="L12" s="180">
        <v>0</v>
      </c>
      <c r="M12" s="172">
        <v>0</v>
      </c>
      <c r="N12" s="173">
        <v>0</v>
      </c>
      <c r="O12" s="173">
        <v>0</v>
      </c>
      <c r="P12" s="173">
        <v>0</v>
      </c>
      <c r="Q12" s="173">
        <v>0</v>
      </c>
      <c r="R12" s="180">
        <v>0</v>
      </c>
      <c r="S12" s="172">
        <v>0</v>
      </c>
      <c r="T12" s="180">
        <v>0</v>
      </c>
      <c r="U12" s="172">
        <v>0</v>
      </c>
      <c r="V12" s="180">
        <v>0</v>
      </c>
    </row>
    <row r="13" spans="1:22" x14ac:dyDescent="0.25">
      <c r="A13" s="168">
        <v>24</v>
      </c>
      <c r="B13" s="167" t="s">
        <v>87</v>
      </c>
      <c r="C13" s="172">
        <v>0</v>
      </c>
      <c r="D13" s="172">
        <v>0</v>
      </c>
      <c r="E13" s="173">
        <v>0</v>
      </c>
      <c r="F13" s="180">
        <v>0</v>
      </c>
      <c r="G13" s="172">
        <v>0</v>
      </c>
      <c r="H13" s="173">
        <v>0</v>
      </c>
      <c r="I13" s="180">
        <v>0</v>
      </c>
      <c r="J13" s="172">
        <v>0</v>
      </c>
      <c r="K13" s="172">
        <v>0</v>
      </c>
      <c r="L13" s="180">
        <v>0</v>
      </c>
      <c r="M13" s="172">
        <v>0</v>
      </c>
      <c r="N13" s="173">
        <v>0</v>
      </c>
      <c r="O13" s="173">
        <v>0</v>
      </c>
      <c r="P13" s="173">
        <v>0</v>
      </c>
      <c r="Q13" s="173">
        <v>0</v>
      </c>
      <c r="R13" s="180">
        <v>0</v>
      </c>
      <c r="S13" s="172">
        <v>0</v>
      </c>
      <c r="T13" s="180">
        <v>0</v>
      </c>
      <c r="U13" s="172">
        <v>0</v>
      </c>
      <c r="V13" s="180">
        <v>0</v>
      </c>
    </row>
    <row r="14" spans="1:22" x14ac:dyDescent="0.25">
      <c r="A14" s="168">
        <v>26</v>
      </c>
      <c r="B14" s="167" t="s">
        <v>88</v>
      </c>
      <c r="C14" s="172">
        <v>0</v>
      </c>
      <c r="D14" s="172">
        <v>0</v>
      </c>
      <c r="E14" s="173">
        <v>0</v>
      </c>
      <c r="F14" s="180">
        <v>0</v>
      </c>
      <c r="G14" s="172">
        <v>0</v>
      </c>
      <c r="H14" s="173">
        <v>0</v>
      </c>
      <c r="I14" s="180">
        <v>0</v>
      </c>
      <c r="J14" s="172">
        <v>0</v>
      </c>
      <c r="K14" s="172">
        <v>0</v>
      </c>
      <c r="L14" s="180">
        <v>0</v>
      </c>
      <c r="M14" s="172">
        <v>0</v>
      </c>
      <c r="N14" s="173">
        <v>0</v>
      </c>
      <c r="O14" s="173">
        <v>0</v>
      </c>
      <c r="P14" s="173">
        <v>0</v>
      </c>
      <c r="Q14" s="173">
        <v>0</v>
      </c>
      <c r="R14" s="180">
        <v>0</v>
      </c>
      <c r="S14" s="172">
        <v>0</v>
      </c>
      <c r="T14" s="180">
        <v>0</v>
      </c>
      <c r="U14" s="172">
        <v>0</v>
      </c>
      <c r="V14" s="180">
        <v>0</v>
      </c>
    </row>
    <row r="15" spans="1:22" x14ac:dyDescent="0.25">
      <c r="A15" s="168">
        <v>27</v>
      </c>
      <c r="B15" s="167" t="s">
        <v>89</v>
      </c>
      <c r="C15" s="172">
        <v>0</v>
      </c>
      <c r="D15" s="172">
        <v>0</v>
      </c>
      <c r="E15" s="173">
        <v>191.26</v>
      </c>
      <c r="F15" s="180">
        <v>0</v>
      </c>
      <c r="G15" s="172">
        <v>0</v>
      </c>
      <c r="H15" s="173">
        <v>967.28</v>
      </c>
      <c r="I15" s="180">
        <v>0</v>
      </c>
      <c r="J15" s="172">
        <v>0</v>
      </c>
      <c r="K15" s="172">
        <v>0</v>
      </c>
      <c r="L15" s="180">
        <v>0</v>
      </c>
      <c r="M15" s="172">
        <v>0</v>
      </c>
      <c r="N15" s="173">
        <v>3101.9</v>
      </c>
      <c r="O15" s="173">
        <v>0</v>
      </c>
      <c r="P15" s="173">
        <v>0</v>
      </c>
      <c r="Q15" s="173">
        <v>0</v>
      </c>
      <c r="R15" s="180">
        <v>0</v>
      </c>
      <c r="S15" s="172">
        <v>0</v>
      </c>
      <c r="T15" s="180">
        <v>0</v>
      </c>
      <c r="U15" s="172">
        <v>0</v>
      </c>
      <c r="V15" s="180">
        <v>0</v>
      </c>
    </row>
    <row r="16" spans="1:22" x14ac:dyDescent="0.25">
      <c r="A16" s="168">
        <v>28</v>
      </c>
      <c r="B16" s="167" t="s">
        <v>90</v>
      </c>
      <c r="C16" s="172">
        <v>0</v>
      </c>
      <c r="D16" s="172">
        <v>0</v>
      </c>
      <c r="E16" s="173">
        <v>0</v>
      </c>
      <c r="F16" s="180">
        <v>0</v>
      </c>
      <c r="G16" s="172">
        <v>0</v>
      </c>
      <c r="H16" s="173">
        <v>0</v>
      </c>
      <c r="I16" s="180">
        <v>0</v>
      </c>
      <c r="J16" s="172">
        <v>0</v>
      </c>
      <c r="K16" s="172">
        <v>0</v>
      </c>
      <c r="L16" s="180">
        <v>0</v>
      </c>
      <c r="M16" s="172">
        <v>0</v>
      </c>
      <c r="N16" s="173">
        <v>2003.68</v>
      </c>
      <c r="O16" s="173">
        <v>0</v>
      </c>
      <c r="P16" s="173">
        <v>0</v>
      </c>
      <c r="Q16" s="173">
        <v>0</v>
      </c>
      <c r="R16" s="180">
        <v>0</v>
      </c>
      <c r="S16" s="172">
        <v>0</v>
      </c>
      <c r="T16" s="180">
        <v>0</v>
      </c>
      <c r="U16" s="172">
        <v>0</v>
      </c>
      <c r="V16" s="180">
        <v>0</v>
      </c>
    </row>
    <row r="17" spans="1:22" x14ac:dyDescent="0.25">
      <c r="A17" s="168">
        <v>29</v>
      </c>
      <c r="B17" s="167" t="s">
        <v>91</v>
      </c>
      <c r="C17" s="172">
        <v>6036.58</v>
      </c>
      <c r="D17" s="172">
        <v>0</v>
      </c>
      <c r="E17" s="173">
        <v>36899.5</v>
      </c>
      <c r="F17" s="180">
        <v>0</v>
      </c>
      <c r="G17" s="172">
        <v>0</v>
      </c>
      <c r="H17" s="173">
        <v>20979.21</v>
      </c>
      <c r="I17" s="180">
        <v>0</v>
      </c>
      <c r="J17" s="172">
        <v>3563.58</v>
      </c>
      <c r="K17" s="172">
        <v>0</v>
      </c>
      <c r="L17" s="180">
        <v>2355.02</v>
      </c>
      <c r="M17" s="172">
        <v>0</v>
      </c>
      <c r="N17" s="173">
        <v>16207.52</v>
      </c>
      <c r="O17" s="173">
        <v>0</v>
      </c>
      <c r="P17" s="173">
        <v>0</v>
      </c>
      <c r="Q17" s="173">
        <v>0</v>
      </c>
      <c r="R17" s="180">
        <v>0</v>
      </c>
      <c r="S17" s="172">
        <v>0</v>
      </c>
      <c r="T17" s="180">
        <v>520.22</v>
      </c>
      <c r="U17" s="172">
        <v>0</v>
      </c>
      <c r="V17" s="180">
        <v>483.45</v>
      </c>
    </row>
    <row r="18" spans="1:22" x14ac:dyDescent="0.25">
      <c r="A18" s="168">
        <v>30</v>
      </c>
      <c r="B18" s="167" t="s">
        <v>92</v>
      </c>
      <c r="C18" s="172">
        <v>0</v>
      </c>
      <c r="D18" s="172">
        <v>0</v>
      </c>
      <c r="E18" s="173">
        <v>0</v>
      </c>
      <c r="F18" s="180">
        <v>0</v>
      </c>
      <c r="G18" s="172">
        <v>0</v>
      </c>
      <c r="H18" s="173">
        <v>0</v>
      </c>
      <c r="I18" s="180">
        <v>0</v>
      </c>
      <c r="J18" s="172">
        <v>0</v>
      </c>
      <c r="K18" s="172">
        <v>0</v>
      </c>
      <c r="L18" s="180">
        <v>0</v>
      </c>
      <c r="M18" s="172">
        <v>0</v>
      </c>
      <c r="N18" s="173">
        <v>0</v>
      </c>
      <c r="O18" s="173">
        <v>0</v>
      </c>
      <c r="P18" s="173">
        <v>0</v>
      </c>
      <c r="Q18" s="173">
        <v>0</v>
      </c>
      <c r="R18" s="180">
        <v>0</v>
      </c>
      <c r="S18" s="172">
        <v>0</v>
      </c>
      <c r="T18" s="180">
        <v>0</v>
      </c>
      <c r="U18" s="172">
        <v>0</v>
      </c>
      <c r="V18" s="180">
        <v>0</v>
      </c>
    </row>
    <row r="19" spans="1:22" x14ac:dyDescent="0.25">
      <c r="A19" s="168">
        <v>37</v>
      </c>
      <c r="B19" s="167" t="s">
        <v>93</v>
      </c>
      <c r="C19" s="172">
        <v>1961.98</v>
      </c>
      <c r="D19" s="172">
        <v>0</v>
      </c>
      <c r="E19" s="173">
        <v>0</v>
      </c>
      <c r="F19" s="180">
        <v>0</v>
      </c>
      <c r="G19" s="172">
        <v>0</v>
      </c>
      <c r="H19" s="173">
        <v>2143.98</v>
      </c>
      <c r="I19" s="180">
        <v>0</v>
      </c>
      <c r="J19" s="172">
        <v>0</v>
      </c>
      <c r="K19" s="172">
        <v>0</v>
      </c>
      <c r="L19" s="180">
        <v>0</v>
      </c>
      <c r="M19" s="172">
        <v>0</v>
      </c>
      <c r="N19" s="173">
        <v>6390.36</v>
      </c>
      <c r="O19" s="173">
        <v>0</v>
      </c>
      <c r="P19" s="173">
        <v>0</v>
      </c>
      <c r="Q19" s="173">
        <v>0</v>
      </c>
      <c r="R19" s="180">
        <v>0</v>
      </c>
      <c r="S19" s="172">
        <v>0</v>
      </c>
      <c r="T19" s="180">
        <v>0</v>
      </c>
      <c r="U19" s="172">
        <v>0</v>
      </c>
      <c r="V19" s="180">
        <v>0</v>
      </c>
    </row>
    <row r="20" spans="1:22" x14ac:dyDescent="0.25">
      <c r="A20" s="168">
        <v>38</v>
      </c>
      <c r="B20" s="167" t="s">
        <v>94</v>
      </c>
      <c r="C20" s="172">
        <v>0</v>
      </c>
      <c r="D20" s="172">
        <v>0</v>
      </c>
      <c r="E20" s="173">
        <v>0</v>
      </c>
      <c r="F20" s="180">
        <v>0</v>
      </c>
      <c r="G20" s="172">
        <v>0</v>
      </c>
      <c r="H20" s="173">
        <v>0</v>
      </c>
      <c r="I20" s="180">
        <v>0</v>
      </c>
      <c r="J20" s="172">
        <v>0</v>
      </c>
      <c r="K20" s="172">
        <v>0</v>
      </c>
      <c r="L20" s="180">
        <v>0</v>
      </c>
      <c r="M20" s="172">
        <v>0</v>
      </c>
      <c r="N20" s="173">
        <v>353</v>
      </c>
      <c r="O20" s="173">
        <v>0</v>
      </c>
      <c r="P20" s="173">
        <v>0</v>
      </c>
      <c r="Q20" s="173">
        <v>0</v>
      </c>
      <c r="R20" s="180">
        <v>0</v>
      </c>
      <c r="S20" s="172">
        <v>0</v>
      </c>
      <c r="T20" s="180">
        <v>0</v>
      </c>
      <c r="U20" s="172">
        <v>0</v>
      </c>
      <c r="V20" s="180">
        <v>0</v>
      </c>
    </row>
    <row r="21" spans="1:22" x14ac:dyDescent="0.25">
      <c r="A21" s="168">
        <v>39</v>
      </c>
      <c r="B21" s="167" t="s">
        <v>95</v>
      </c>
      <c r="C21" s="172">
        <v>0</v>
      </c>
      <c r="D21" s="172">
        <v>0</v>
      </c>
      <c r="E21" s="173">
        <v>0</v>
      </c>
      <c r="F21" s="180">
        <v>0</v>
      </c>
      <c r="G21" s="172">
        <v>0</v>
      </c>
      <c r="H21" s="173">
        <v>116.29</v>
      </c>
      <c r="I21" s="180">
        <v>0</v>
      </c>
      <c r="J21" s="172">
        <v>0</v>
      </c>
      <c r="K21" s="172">
        <v>0</v>
      </c>
      <c r="L21" s="180">
        <v>0</v>
      </c>
      <c r="M21" s="172">
        <v>0</v>
      </c>
      <c r="N21" s="173">
        <v>2225.4</v>
      </c>
      <c r="O21" s="173">
        <v>0</v>
      </c>
      <c r="P21" s="173">
        <v>0</v>
      </c>
      <c r="Q21" s="173">
        <v>0</v>
      </c>
      <c r="R21" s="180">
        <v>0</v>
      </c>
      <c r="S21" s="172">
        <v>0</v>
      </c>
      <c r="T21" s="180">
        <v>0</v>
      </c>
      <c r="U21" s="172">
        <v>0</v>
      </c>
      <c r="V21" s="180">
        <v>0</v>
      </c>
    </row>
    <row r="22" spans="1:22" x14ac:dyDescent="0.25">
      <c r="A22" s="170">
        <v>40</v>
      </c>
      <c r="B22" s="171" t="s">
        <v>96</v>
      </c>
      <c r="C22" s="178">
        <v>1484.99</v>
      </c>
      <c r="D22" s="178">
        <v>0</v>
      </c>
      <c r="E22" s="179">
        <v>3429.2200000000003</v>
      </c>
      <c r="F22" s="182">
        <v>203.12</v>
      </c>
      <c r="G22" s="178">
        <v>0</v>
      </c>
      <c r="H22" s="179">
        <v>5202.95</v>
      </c>
      <c r="I22" s="182">
        <v>0</v>
      </c>
      <c r="J22" s="178">
        <v>772.68999999999994</v>
      </c>
      <c r="K22" s="178">
        <v>0</v>
      </c>
      <c r="L22" s="182">
        <v>748.11</v>
      </c>
      <c r="M22" s="178">
        <v>0</v>
      </c>
      <c r="N22" s="179">
        <v>5132.3900000000003</v>
      </c>
      <c r="O22" s="179">
        <v>0</v>
      </c>
      <c r="P22" s="179">
        <v>0</v>
      </c>
      <c r="Q22" s="179">
        <v>0</v>
      </c>
      <c r="R22" s="182">
        <v>0</v>
      </c>
      <c r="S22" s="178">
        <v>0</v>
      </c>
      <c r="T22" s="182">
        <v>1367.22</v>
      </c>
      <c r="U22" s="178">
        <v>0</v>
      </c>
      <c r="V22" s="182">
        <v>113.84</v>
      </c>
    </row>
    <row r="23" spans="1:22" x14ac:dyDescent="0.25">
      <c r="A23" s="170">
        <v>41</v>
      </c>
      <c r="B23" s="171" t="s">
        <v>97</v>
      </c>
      <c r="C23" s="178">
        <v>5971.91</v>
      </c>
      <c r="D23" s="178">
        <v>0</v>
      </c>
      <c r="E23" s="179">
        <v>113.85</v>
      </c>
      <c r="F23" s="182">
        <v>0</v>
      </c>
      <c r="G23" s="178">
        <v>0</v>
      </c>
      <c r="H23" s="179">
        <v>148.41999999999999</v>
      </c>
      <c r="I23" s="182">
        <v>0</v>
      </c>
      <c r="J23" s="178">
        <v>1345.85</v>
      </c>
      <c r="K23" s="178">
        <v>0</v>
      </c>
      <c r="L23" s="182">
        <v>64.040000000000006</v>
      </c>
      <c r="M23" s="178">
        <v>0</v>
      </c>
      <c r="N23" s="179">
        <v>14922.44</v>
      </c>
      <c r="O23" s="179">
        <v>0</v>
      </c>
      <c r="P23" s="179">
        <v>0</v>
      </c>
      <c r="Q23" s="179">
        <v>0</v>
      </c>
      <c r="R23" s="182">
        <v>0</v>
      </c>
      <c r="S23" s="178">
        <v>0</v>
      </c>
      <c r="T23" s="182">
        <v>105.4</v>
      </c>
      <c r="U23" s="178">
        <v>0</v>
      </c>
      <c r="V23" s="182">
        <v>814.19</v>
      </c>
    </row>
    <row r="24" spans="1:22" x14ac:dyDescent="0.25">
      <c r="A24" s="170">
        <v>42</v>
      </c>
      <c r="B24" s="171" t="s">
        <v>98</v>
      </c>
      <c r="C24" s="178">
        <v>54.59</v>
      </c>
      <c r="D24" s="178">
        <v>0</v>
      </c>
      <c r="E24" s="179">
        <v>1172.9000000000001</v>
      </c>
      <c r="F24" s="182">
        <v>0</v>
      </c>
      <c r="G24" s="178">
        <v>0</v>
      </c>
      <c r="H24" s="179">
        <v>2458.48</v>
      </c>
      <c r="I24" s="182">
        <v>0</v>
      </c>
      <c r="J24" s="178">
        <v>331.47999999999996</v>
      </c>
      <c r="K24" s="178">
        <v>0</v>
      </c>
      <c r="L24" s="182">
        <v>364.10999999999996</v>
      </c>
      <c r="M24" s="178">
        <v>0</v>
      </c>
      <c r="N24" s="179">
        <v>3170.6</v>
      </c>
      <c r="O24" s="179">
        <v>0</v>
      </c>
      <c r="P24" s="179">
        <v>0</v>
      </c>
      <c r="Q24" s="179">
        <v>0</v>
      </c>
      <c r="R24" s="182">
        <v>0</v>
      </c>
      <c r="S24" s="178">
        <v>0</v>
      </c>
      <c r="T24" s="182">
        <v>471.04</v>
      </c>
      <c r="U24" s="178">
        <v>0</v>
      </c>
      <c r="V24" s="182">
        <v>100.6</v>
      </c>
    </row>
    <row r="25" spans="1:22" x14ac:dyDescent="0.25">
      <c r="A25" s="168">
        <v>46</v>
      </c>
      <c r="B25" s="167" t="s">
        <v>99</v>
      </c>
      <c r="C25" s="172">
        <v>0</v>
      </c>
      <c r="D25" s="172">
        <v>0</v>
      </c>
      <c r="E25" s="173">
        <v>0</v>
      </c>
      <c r="F25" s="180">
        <v>0</v>
      </c>
      <c r="G25" s="172">
        <v>0</v>
      </c>
      <c r="H25" s="173">
        <v>0</v>
      </c>
      <c r="I25" s="180">
        <v>0</v>
      </c>
      <c r="J25" s="172">
        <v>0</v>
      </c>
      <c r="K25" s="172">
        <v>0</v>
      </c>
      <c r="L25" s="180">
        <v>0</v>
      </c>
      <c r="M25" s="172">
        <v>0</v>
      </c>
      <c r="N25" s="173">
        <v>0</v>
      </c>
      <c r="O25" s="173">
        <v>0</v>
      </c>
      <c r="P25" s="173">
        <v>0</v>
      </c>
      <c r="Q25" s="173">
        <v>0</v>
      </c>
      <c r="R25" s="180">
        <v>0</v>
      </c>
      <c r="S25" s="172">
        <v>0</v>
      </c>
      <c r="T25" s="180">
        <v>0</v>
      </c>
      <c r="U25" s="172">
        <v>0</v>
      </c>
      <c r="V25" s="180">
        <v>0</v>
      </c>
    </row>
    <row r="26" spans="1:22" x14ac:dyDescent="0.25">
      <c r="A26" s="168">
        <v>49</v>
      </c>
      <c r="B26" s="167" t="s">
        <v>100</v>
      </c>
      <c r="C26" s="172">
        <v>0</v>
      </c>
      <c r="D26" s="172">
        <v>0</v>
      </c>
      <c r="E26" s="173">
        <v>0</v>
      </c>
      <c r="F26" s="180">
        <v>0</v>
      </c>
      <c r="G26" s="172">
        <v>0</v>
      </c>
      <c r="H26" s="173">
        <v>0</v>
      </c>
      <c r="I26" s="180">
        <v>0</v>
      </c>
      <c r="J26" s="172">
        <v>0</v>
      </c>
      <c r="K26" s="172">
        <v>0</v>
      </c>
      <c r="L26" s="180">
        <v>0</v>
      </c>
      <c r="M26" s="172">
        <v>0</v>
      </c>
      <c r="N26" s="173">
        <v>0</v>
      </c>
      <c r="O26" s="173">
        <v>0</v>
      </c>
      <c r="P26" s="173">
        <v>0</v>
      </c>
      <c r="Q26" s="173">
        <v>0</v>
      </c>
      <c r="R26" s="180">
        <v>0</v>
      </c>
      <c r="S26" s="172">
        <v>0</v>
      </c>
      <c r="T26" s="180">
        <v>0</v>
      </c>
      <c r="U26" s="172">
        <v>0</v>
      </c>
      <c r="V26" s="180">
        <v>0</v>
      </c>
    </row>
    <row r="27" spans="1:22" x14ac:dyDescent="0.25">
      <c r="A27" s="168">
        <v>50</v>
      </c>
      <c r="B27" s="167" t="s">
        <v>101</v>
      </c>
      <c r="C27" s="172">
        <v>17847.21</v>
      </c>
      <c r="D27" s="172">
        <v>0</v>
      </c>
      <c r="E27" s="173">
        <v>34839.009999999995</v>
      </c>
      <c r="F27" s="180">
        <v>0</v>
      </c>
      <c r="G27" s="172">
        <v>0</v>
      </c>
      <c r="H27" s="173">
        <v>54621</v>
      </c>
      <c r="I27" s="180">
        <v>0</v>
      </c>
      <c r="J27" s="172">
        <v>9264.4399999999987</v>
      </c>
      <c r="K27" s="172">
        <v>0</v>
      </c>
      <c r="L27" s="180">
        <v>10193.720000000001</v>
      </c>
      <c r="M27" s="172">
        <v>0</v>
      </c>
      <c r="N27" s="173">
        <v>73219.78</v>
      </c>
      <c r="O27" s="173">
        <v>0</v>
      </c>
      <c r="P27" s="173">
        <v>0</v>
      </c>
      <c r="Q27" s="173">
        <v>0</v>
      </c>
      <c r="R27" s="180">
        <v>0</v>
      </c>
      <c r="S27" s="172">
        <v>0</v>
      </c>
      <c r="T27" s="180">
        <v>13194.45</v>
      </c>
      <c r="U27" s="172">
        <v>0</v>
      </c>
      <c r="V27" s="180">
        <v>2817.91</v>
      </c>
    </row>
    <row r="28" spans="1:22" x14ac:dyDescent="0.25">
      <c r="A28" s="168">
        <v>51</v>
      </c>
      <c r="B28" s="167" t="s">
        <v>102</v>
      </c>
      <c r="C28" s="172">
        <v>0</v>
      </c>
      <c r="D28" s="172">
        <v>0</v>
      </c>
      <c r="E28" s="173">
        <v>0</v>
      </c>
      <c r="F28" s="180">
        <v>0</v>
      </c>
      <c r="G28" s="172">
        <v>0</v>
      </c>
      <c r="H28" s="173">
        <v>0</v>
      </c>
      <c r="I28" s="180">
        <v>0</v>
      </c>
      <c r="J28" s="172">
        <v>0</v>
      </c>
      <c r="K28" s="172">
        <v>0</v>
      </c>
      <c r="L28" s="180">
        <v>0</v>
      </c>
      <c r="M28" s="172">
        <v>0</v>
      </c>
      <c r="N28" s="173">
        <v>0</v>
      </c>
      <c r="O28" s="173">
        <v>0</v>
      </c>
      <c r="P28" s="173">
        <v>0</v>
      </c>
      <c r="Q28" s="173">
        <v>0</v>
      </c>
      <c r="R28" s="180">
        <v>0</v>
      </c>
      <c r="S28" s="172">
        <v>0</v>
      </c>
      <c r="T28" s="180">
        <v>0</v>
      </c>
      <c r="U28" s="172">
        <v>0</v>
      </c>
      <c r="V28" s="180">
        <v>0</v>
      </c>
    </row>
    <row r="29" spans="1:22" x14ac:dyDescent="0.25">
      <c r="A29" s="168">
        <v>57</v>
      </c>
      <c r="B29" s="167" t="s">
        <v>103</v>
      </c>
      <c r="C29" s="172">
        <v>0</v>
      </c>
      <c r="D29" s="172">
        <v>0</v>
      </c>
      <c r="E29" s="173">
        <v>0</v>
      </c>
      <c r="F29" s="180">
        <v>0</v>
      </c>
      <c r="G29" s="172">
        <v>0</v>
      </c>
      <c r="H29" s="173">
        <v>0</v>
      </c>
      <c r="I29" s="180">
        <v>0</v>
      </c>
      <c r="J29" s="172">
        <v>0</v>
      </c>
      <c r="K29" s="172">
        <v>0</v>
      </c>
      <c r="L29" s="180">
        <v>0</v>
      </c>
      <c r="M29" s="172">
        <v>0</v>
      </c>
      <c r="N29" s="173">
        <v>0</v>
      </c>
      <c r="O29" s="173">
        <v>0</v>
      </c>
      <c r="P29" s="173">
        <v>0</v>
      </c>
      <c r="Q29" s="173">
        <v>0</v>
      </c>
      <c r="R29" s="180">
        <v>0</v>
      </c>
      <c r="S29" s="172">
        <v>0</v>
      </c>
      <c r="T29" s="180">
        <v>0</v>
      </c>
      <c r="U29" s="172">
        <v>0</v>
      </c>
      <c r="V29" s="180">
        <v>0</v>
      </c>
    </row>
    <row r="30" spans="1:22" x14ac:dyDescent="0.25">
      <c r="A30" s="168">
        <v>59</v>
      </c>
      <c r="B30" s="167" t="s">
        <v>104</v>
      </c>
      <c r="C30" s="172">
        <v>3202.87</v>
      </c>
      <c r="D30" s="172">
        <v>0</v>
      </c>
      <c r="E30" s="173">
        <v>5234.22</v>
      </c>
      <c r="F30" s="180">
        <v>0</v>
      </c>
      <c r="G30" s="172">
        <v>0</v>
      </c>
      <c r="H30" s="173">
        <v>25703.1</v>
      </c>
      <c r="I30" s="180">
        <v>0</v>
      </c>
      <c r="J30" s="172">
        <v>1494.45</v>
      </c>
      <c r="K30" s="172">
        <v>0</v>
      </c>
      <c r="L30" s="180">
        <v>1681.07</v>
      </c>
      <c r="M30" s="172">
        <v>0</v>
      </c>
      <c r="N30" s="173">
        <v>15487.08</v>
      </c>
      <c r="O30" s="173">
        <v>0</v>
      </c>
      <c r="P30" s="173">
        <v>0</v>
      </c>
      <c r="Q30" s="173">
        <v>0</v>
      </c>
      <c r="R30" s="180">
        <v>0</v>
      </c>
      <c r="S30" s="172">
        <v>0</v>
      </c>
      <c r="T30" s="180">
        <v>0</v>
      </c>
      <c r="U30" s="172">
        <v>0</v>
      </c>
      <c r="V30" s="180">
        <v>0</v>
      </c>
    </row>
    <row r="31" spans="1:22" x14ac:dyDescent="0.25">
      <c r="A31" s="168">
        <v>60</v>
      </c>
      <c r="B31" s="167" t="s">
        <v>105</v>
      </c>
      <c r="C31" s="172">
        <v>6192.67</v>
      </c>
      <c r="D31" s="172">
        <v>0</v>
      </c>
      <c r="E31" s="173">
        <v>18620.77</v>
      </c>
      <c r="F31" s="180">
        <v>0</v>
      </c>
      <c r="G31" s="172">
        <v>0</v>
      </c>
      <c r="H31" s="173">
        <v>36055.040000000001</v>
      </c>
      <c r="I31" s="180">
        <v>0</v>
      </c>
      <c r="J31" s="172">
        <v>5086.21</v>
      </c>
      <c r="K31" s="172">
        <v>0</v>
      </c>
      <c r="L31" s="180">
        <v>5737.33</v>
      </c>
      <c r="M31" s="172">
        <v>0</v>
      </c>
      <c r="N31" s="173">
        <v>43531.69</v>
      </c>
      <c r="O31" s="173">
        <v>0</v>
      </c>
      <c r="P31" s="173">
        <v>0</v>
      </c>
      <c r="Q31" s="173">
        <v>0</v>
      </c>
      <c r="R31" s="180">
        <v>0</v>
      </c>
      <c r="S31" s="172">
        <v>0</v>
      </c>
      <c r="T31" s="180">
        <v>9525.0499999999993</v>
      </c>
      <c r="U31" s="172">
        <v>0</v>
      </c>
      <c r="V31" s="180">
        <v>1136.74</v>
      </c>
    </row>
    <row r="32" spans="1:22" x14ac:dyDescent="0.25">
      <c r="A32" s="168">
        <v>66</v>
      </c>
      <c r="B32" s="167" t="s">
        <v>106</v>
      </c>
      <c r="C32" s="172">
        <v>0</v>
      </c>
      <c r="D32" s="172">
        <v>0</v>
      </c>
      <c r="E32" s="173">
        <v>0</v>
      </c>
      <c r="F32" s="180">
        <v>0</v>
      </c>
      <c r="G32" s="172">
        <v>0</v>
      </c>
      <c r="H32" s="173">
        <v>0</v>
      </c>
      <c r="I32" s="180">
        <v>0</v>
      </c>
      <c r="J32" s="172">
        <v>0</v>
      </c>
      <c r="K32" s="172">
        <v>0</v>
      </c>
      <c r="L32" s="180">
        <v>0</v>
      </c>
      <c r="M32" s="172">
        <v>0</v>
      </c>
      <c r="N32" s="173">
        <v>0</v>
      </c>
      <c r="O32" s="173">
        <v>0</v>
      </c>
      <c r="P32" s="173">
        <v>0</v>
      </c>
      <c r="Q32" s="173">
        <v>0</v>
      </c>
      <c r="R32" s="180">
        <v>0</v>
      </c>
      <c r="S32" s="172">
        <v>0</v>
      </c>
      <c r="T32" s="180">
        <v>0</v>
      </c>
      <c r="U32" s="172">
        <v>0</v>
      </c>
      <c r="V32" s="180">
        <v>0</v>
      </c>
    </row>
    <row r="33" spans="1:22" x14ac:dyDescent="0.25">
      <c r="A33" s="168">
        <v>67</v>
      </c>
      <c r="B33" s="167" t="s">
        <v>107</v>
      </c>
      <c r="C33" s="172">
        <v>0</v>
      </c>
      <c r="D33" s="172">
        <v>0</v>
      </c>
      <c r="E33" s="173">
        <v>0</v>
      </c>
      <c r="F33" s="180">
        <v>0</v>
      </c>
      <c r="G33" s="172">
        <v>0</v>
      </c>
      <c r="H33" s="173">
        <v>0</v>
      </c>
      <c r="I33" s="180">
        <v>0</v>
      </c>
      <c r="J33" s="172">
        <v>0</v>
      </c>
      <c r="K33" s="172">
        <v>0</v>
      </c>
      <c r="L33" s="180">
        <v>0</v>
      </c>
      <c r="M33" s="172">
        <v>0</v>
      </c>
      <c r="N33" s="173">
        <v>0</v>
      </c>
      <c r="O33" s="173">
        <v>0</v>
      </c>
      <c r="P33" s="173">
        <v>0</v>
      </c>
      <c r="Q33" s="173">
        <v>0</v>
      </c>
      <c r="R33" s="180">
        <v>0</v>
      </c>
      <c r="S33" s="172">
        <v>0</v>
      </c>
      <c r="T33" s="180">
        <v>0</v>
      </c>
      <c r="U33" s="172">
        <v>0</v>
      </c>
      <c r="V33" s="180">
        <v>0</v>
      </c>
    </row>
    <row r="34" spans="1:22" x14ac:dyDescent="0.25">
      <c r="A34" s="168">
        <v>68</v>
      </c>
      <c r="B34" s="167" t="s">
        <v>108</v>
      </c>
      <c r="C34" s="172">
        <v>0</v>
      </c>
      <c r="D34" s="172">
        <v>0</v>
      </c>
      <c r="E34" s="173">
        <v>0</v>
      </c>
      <c r="F34" s="180">
        <v>0</v>
      </c>
      <c r="G34" s="172">
        <v>0</v>
      </c>
      <c r="H34" s="173">
        <v>0</v>
      </c>
      <c r="I34" s="180">
        <v>0</v>
      </c>
      <c r="J34" s="172">
        <v>0</v>
      </c>
      <c r="K34" s="172">
        <v>0</v>
      </c>
      <c r="L34" s="180">
        <v>0</v>
      </c>
      <c r="M34" s="172">
        <v>0</v>
      </c>
      <c r="N34" s="173">
        <v>0</v>
      </c>
      <c r="O34" s="173">
        <v>0</v>
      </c>
      <c r="P34" s="173">
        <v>0</v>
      </c>
      <c r="Q34" s="173">
        <v>0</v>
      </c>
      <c r="R34" s="180">
        <v>0</v>
      </c>
      <c r="S34" s="172">
        <v>0</v>
      </c>
      <c r="T34" s="180">
        <v>0</v>
      </c>
      <c r="U34" s="172">
        <v>0</v>
      </c>
      <c r="V34" s="180">
        <v>0</v>
      </c>
    </row>
    <row r="35" spans="1:22" x14ac:dyDescent="0.25">
      <c r="A35" s="168">
        <v>70</v>
      </c>
      <c r="B35" s="167" t="s">
        <v>109</v>
      </c>
      <c r="C35" s="172">
        <v>0</v>
      </c>
      <c r="D35" s="172">
        <v>0</v>
      </c>
      <c r="E35" s="173">
        <v>0</v>
      </c>
      <c r="F35" s="180">
        <v>0</v>
      </c>
      <c r="G35" s="172">
        <v>0</v>
      </c>
      <c r="H35" s="173">
        <v>0</v>
      </c>
      <c r="I35" s="180">
        <v>0</v>
      </c>
      <c r="J35" s="172">
        <v>0</v>
      </c>
      <c r="K35" s="172">
        <v>0</v>
      </c>
      <c r="L35" s="180">
        <v>0</v>
      </c>
      <c r="M35" s="172">
        <v>0</v>
      </c>
      <c r="N35" s="173">
        <v>0</v>
      </c>
      <c r="O35" s="173">
        <v>0</v>
      </c>
      <c r="P35" s="173">
        <v>0</v>
      </c>
      <c r="Q35" s="173">
        <v>0</v>
      </c>
      <c r="R35" s="180">
        <v>0</v>
      </c>
      <c r="S35" s="172">
        <v>0</v>
      </c>
      <c r="T35" s="180">
        <v>0</v>
      </c>
      <c r="U35" s="172">
        <v>0</v>
      </c>
      <c r="V35" s="180">
        <v>0</v>
      </c>
    </row>
    <row r="36" spans="1:22" x14ac:dyDescent="0.25">
      <c r="A36" s="168">
        <v>71</v>
      </c>
      <c r="B36" s="167" t="s">
        <v>110</v>
      </c>
      <c r="C36" s="172">
        <v>0</v>
      </c>
      <c r="D36" s="172">
        <v>0</v>
      </c>
      <c r="E36" s="173">
        <v>0</v>
      </c>
      <c r="F36" s="180">
        <v>0</v>
      </c>
      <c r="G36" s="172">
        <v>0</v>
      </c>
      <c r="H36" s="173">
        <v>0</v>
      </c>
      <c r="I36" s="180">
        <v>0</v>
      </c>
      <c r="J36" s="172">
        <v>0</v>
      </c>
      <c r="K36" s="172">
        <v>0</v>
      </c>
      <c r="L36" s="180">
        <v>0</v>
      </c>
      <c r="M36" s="172">
        <v>0</v>
      </c>
      <c r="N36" s="173">
        <v>0</v>
      </c>
      <c r="O36" s="173">
        <v>0</v>
      </c>
      <c r="P36" s="173">
        <v>0</v>
      </c>
      <c r="Q36" s="173">
        <v>0</v>
      </c>
      <c r="R36" s="180">
        <v>0</v>
      </c>
      <c r="S36" s="172">
        <v>0</v>
      </c>
      <c r="T36" s="180">
        <v>0</v>
      </c>
      <c r="U36" s="172">
        <v>0</v>
      </c>
      <c r="V36" s="180">
        <v>0</v>
      </c>
    </row>
    <row r="37" spans="1:22" x14ac:dyDescent="0.25">
      <c r="A37" s="168">
        <v>72</v>
      </c>
      <c r="B37" s="167" t="s">
        <v>111</v>
      </c>
      <c r="C37" s="172">
        <v>4155910.79</v>
      </c>
      <c r="D37" s="172">
        <v>30653823.059999999</v>
      </c>
      <c r="E37" s="173">
        <v>0</v>
      </c>
      <c r="F37" s="180">
        <v>1690680.77</v>
      </c>
      <c r="G37" s="172">
        <v>47573963.189999998</v>
      </c>
      <c r="H37" s="173">
        <v>0</v>
      </c>
      <c r="I37" s="180">
        <v>3978627.9400000004</v>
      </c>
      <c r="J37" s="172">
        <v>1022927.64</v>
      </c>
      <c r="K37" s="172">
        <v>5383941.8300000001</v>
      </c>
      <c r="L37" s="180">
        <v>0</v>
      </c>
      <c r="M37" s="172">
        <v>13854060.189999999</v>
      </c>
      <c r="N37" s="173">
        <v>0</v>
      </c>
      <c r="O37" s="173">
        <v>0</v>
      </c>
      <c r="P37" s="173">
        <v>0</v>
      </c>
      <c r="Q37" s="173">
        <v>0</v>
      </c>
      <c r="R37" s="180">
        <v>0</v>
      </c>
      <c r="S37" s="172">
        <v>80231.009999999995</v>
      </c>
      <c r="T37" s="180">
        <v>0</v>
      </c>
      <c r="U37" s="172">
        <v>814190.19</v>
      </c>
      <c r="V37" s="180">
        <v>0</v>
      </c>
    </row>
    <row r="38" spans="1:22" x14ac:dyDescent="0.25">
      <c r="A38" s="168">
        <v>73</v>
      </c>
      <c r="B38" s="167" t="s">
        <v>112</v>
      </c>
      <c r="C38" s="172">
        <v>0</v>
      </c>
      <c r="D38" s="172">
        <v>0</v>
      </c>
      <c r="E38" s="173">
        <v>0</v>
      </c>
      <c r="F38" s="180">
        <v>0</v>
      </c>
      <c r="G38" s="172">
        <v>0</v>
      </c>
      <c r="H38" s="173">
        <v>0</v>
      </c>
      <c r="I38" s="180">
        <v>0</v>
      </c>
      <c r="J38" s="172">
        <v>0</v>
      </c>
      <c r="K38" s="172">
        <v>0</v>
      </c>
      <c r="L38" s="180">
        <v>0</v>
      </c>
      <c r="M38" s="172">
        <v>0</v>
      </c>
      <c r="N38" s="173">
        <v>0</v>
      </c>
      <c r="O38" s="173">
        <v>0</v>
      </c>
      <c r="P38" s="173">
        <v>0</v>
      </c>
      <c r="Q38" s="173">
        <v>0</v>
      </c>
      <c r="R38" s="180">
        <v>0</v>
      </c>
      <c r="S38" s="172">
        <v>0</v>
      </c>
      <c r="T38" s="180">
        <v>0</v>
      </c>
      <c r="U38" s="172">
        <v>0</v>
      </c>
      <c r="V38" s="180">
        <v>0</v>
      </c>
    </row>
    <row r="39" spans="1:22" x14ac:dyDescent="0.25">
      <c r="A39" s="168">
        <v>75</v>
      </c>
      <c r="B39" s="167" t="s">
        <v>113</v>
      </c>
      <c r="C39" s="172">
        <v>0</v>
      </c>
      <c r="D39" s="172">
        <v>0</v>
      </c>
      <c r="E39" s="173">
        <v>0</v>
      </c>
      <c r="F39" s="180">
        <v>0</v>
      </c>
      <c r="G39" s="172">
        <v>0</v>
      </c>
      <c r="H39" s="173">
        <v>0</v>
      </c>
      <c r="I39" s="180">
        <v>0</v>
      </c>
      <c r="J39" s="172">
        <v>0</v>
      </c>
      <c r="K39" s="172">
        <v>0</v>
      </c>
      <c r="L39" s="180">
        <v>0</v>
      </c>
      <c r="M39" s="172">
        <v>0</v>
      </c>
      <c r="N39" s="173">
        <v>0</v>
      </c>
      <c r="O39" s="173">
        <v>0</v>
      </c>
      <c r="P39" s="173">
        <v>0</v>
      </c>
      <c r="Q39" s="173">
        <v>0</v>
      </c>
      <c r="R39" s="180">
        <v>0</v>
      </c>
      <c r="S39" s="172">
        <v>0</v>
      </c>
      <c r="T39" s="180">
        <v>0</v>
      </c>
      <c r="U39" s="172">
        <v>0</v>
      </c>
      <c r="V39" s="180">
        <v>0</v>
      </c>
    </row>
    <row r="40" spans="1:22" x14ac:dyDescent="0.25">
      <c r="A40" s="168">
        <v>80</v>
      </c>
      <c r="B40" s="167" t="s">
        <v>114</v>
      </c>
      <c r="C40" s="172">
        <v>0</v>
      </c>
      <c r="D40" s="172">
        <v>0</v>
      </c>
      <c r="E40" s="173">
        <v>0</v>
      </c>
      <c r="F40" s="180">
        <v>0</v>
      </c>
      <c r="G40" s="172">
        <v>0</v>
      </c>
      <c r="H40" s="173">
        <v>0</v>
      </c>
      <c r="I40" s="180">
        <v>0</v>
      </c>
      <c r="J40" s="172">
        <v>0</v>
      </c>
      <c r="K40" s="172">
        <v>0</v>
      </c>
      <c r="L40" s="180">
        <v>0</v>
      </c>
      <c r="M40" s="172">
        <v>0</v>
      </c>
      <c r="N40" s="173">
        <v>0</v>
      </c>
      <c r="O40" s="173">
        <v>0</v>
      </c>
      <c r="P40" s="173">
        <v>0</v>
      </c>
      <c r="Q40" s="173">
        <v>0</v>
      </c>
      <c r="R40" s="180">
        <v>0</v>
      </c>
      <c r="S40" s="172">
        <v>0</v>
      </c>
      <c r="T40" s="180">
        <v>0</v>
      </c>
      <c r="U40" s="172">
        <v>0</v>
      </c>
      <c r="V40" s="180">
        <v>0</v>
      </c>
    </row>
    <row r="41" spans="1:22" x14ac:dyDescent="0.25">
      <c r="A41" s="168">
        <v>82</v>
      </c>
      <c r="B41" s="167" t="s">
        <v>115</v>
      </c>
      <c r="C41" s="172">
        <v>0</v>
      </c>
      <c r="D41" s="172">
        <v>0</v>
      </c>
      <c r="E41" s="173">
        <v>0</v>
      </c>
      <c r="F41" s="180">
        <v>0</v>
      </c>
      <c r="G41" s="172">
        <v>0</v>
      </c>
      <c r="H41" s="173">
        <v>0</v>
      </c>
      <c r="I41" s="180">
        <v>0</v>
      </c>
      <c r="J41" s="172">
        <v>0</v>
      </c>
      <c r="K41" s="172">
        <v>0</v>
      </c>
      <c r="L41" s="180">
        <v>0</v>
      </c>
      <c r="M41" s="172">
        <v>0</v>
      </c>
      <c r="N41" s="173">
        <v>0</v>
      </c>
      <c r="O41" s="173">
        <v>0</v>
      </c>
      <c r="P41" s="173">
        <v>0</v>
      </c>
      <c r="Q41" s="173">
        <v>0</v>
      </c>
      <c r="R41" s="180">
        <v>0</v>
      </c>
      <c r="S41" s="172">
        <v>0</v>
      </c>
      <c r="T41" s="180">
        <v>0</v>
      </c>
      <c r="U41" s="172">
        <v>0</v>
      </c>
      <c r="V41" s="180">
        <v>0</v>
      </c>
    </row>
    <row r="42" spans="1:22" x14ac:dyDescent="0.25">
      <c r="A42" s="168">
        <v>102</v>
      </c>
      <c r="B42" s="167" t="s">
        <v>116</v>
      </c>
      <c r="C42" s="172">
        <v>1773185.2</v>
      </c>
      <c r="D42" s="172">
        <v>0</v>
      </c>
      <c r="E42" s="173">
        <v>10720</v>
      </c>
      <c r="F42" s="180">
        <v>273564.05</v>
      </c>
      <c r="G42" s="172">
        <v>0</v>
      </c>
      <c r="H42" s="173">
        <v>0</v>
      </c>
      <c r="I42" s="180">
        <v>2917615.23</v>
      </c>
      <c r="J42" s="172">
        <v>302039.55</v>
      </c>
      <c r="K42" s="172">
        <v>0</v>
      </c>
      <c r="L42" s="180">
        <v>42905.919999999998</v>
      </c>
      <c r="M42" s="172">
        <v>0</v>
      </c>
      <c r="N42" s="173">
        <v>0</v>
      </c>
      <c r="O42" s="173">
        <v>68197.570000000007</v>
      </c>
      <c r="P42" s="173">
        <v>0</v>
      </c>
      <c r="Q42" s="173">
        <v>0</v>
      </c>
      <c r="R42" s="180">
        <v>816180.68</v>
      </c>
      <c r="S42" s="172">
        <v>0</v>
      </c>
      <c r="T42" s="180">
        <v>0</v>
      </c>
      <c r="U42" s="172">
        <v>0</v>
      </c>
      <c r="V42" s="180">
        <v>39790</v>
      </c>
    </row>
    <row r="43" spans="1:22" x14ac:dyDescent="0.25">
      <c r="A43" s="168">
        <v>103</v>
      </c>
      <c r="B43" s="167" t="s">
        <v>117</v>
      </c>
      <c r="C43" s="172">
        <v>0</v>
      </c>
      <c r="D43" s="172">
        <v>0</v>
      </c>
      <c r="E43" s="173">
        <v>0</v>
      </c>
      <c r="F43" s="180">
        <v>0</v>
      </c>
      <c r="G43" s="172">
        <v>0</v>
      </c>
      <c r="H43" s="173">
        <v>0</v>
      </c>
      <c r="I43" s="180">
        <v>0</v>
      </c>
      <c r="J43" s="172">
        <v>0</v>
      </c>
      <c r="K43" s="172">
        <v>0</v>
      </c>
      <c r="L43" s="180">
        <v>0</v>
      </c>
      <c r="M43" s="172">
        <v>0</v>
      </c>
      <c r="N43" s="173">
        <v>0</v>
      </c>
      <c r="O43" s="173">
        <v>0</v>
      </c>
      <c r="P43" s="173">
        <v>0</v>
      </c>
      <c r="Q43" s="173">
        <v>0</v>
      </c>
      <c r="R43" s="180">
        <v>0</v>
      </c>
      <c r="S43" s="172">
        <v>0</v>
      </c>
      <c r="T43" s="180">
        <v>0</v>
      </c>
      <c r="U43" s="172">
        <v>0</v>
      </c>
      <c r="V43" s="180">
        <v>0</v>
      </c>
    </row>
    <row r="44" spans="1:22" x14ac:dyDescent="0.25">
      <c r="A44" s="168">
        <v>107</v>
      </c>
      <c r="B44" s="167" t="s">
        <v>118</v>
      </c>
      <c r="C44" s="172">
        <v>0</v>
      </c>
      <c r="D44" s="172">
        <v>0</v>
      </c>
      <c r="E44" s="173">
        <v>0</v>
      </c>
      <c r="F44" s="180">
        <v>0</v>
      </c>
      <c r="G44" s="172">
        <v>0</v>
      </c>
      <c r="H44" s="173">
        <v>0</v>
      </c>
      <c r="I44" s="180">
        <v>0</v>
      </c>
      <c r="J44" s="172">
        <v>0</v>
      </c>
      <c r="K44" s="172">
        <v>0</v>
      </c>
      <c r="L44" s="180">
        <v>0</v>
      </c>
      <c r="M44" s="172">
        <v>0</v>
      </c>
      <c r="N44" s="173">
        <v>0</v>
      </c>
      <c r="O44" s="173">
        <v>0</v>
      </c>
      <c r="P44" s="173">
        <v>0</v>
      </c>
      <c r="Q44" s="173">
        <v>0</v>
      </c>
      <c r="R44" s="180">
        <v>0</v>
      </c>
      <c r="S44" s="172">
        <v>0</v>
      </c>
      <c r="T44" s="180">
        <v>0</v>
      </c>
      <c r="U44" s="172">
        <v>0</v>
      </c>
      <c r="V44" s="180">
        <v>0</v>
      </c>
    </row>
    <row r="45" spans="1:22" x14ac:dyDescent="0.25">
      <c r="A45" s="168">
        <v>230</v>
      </c>
      <c r="B45" s="167" t="s">
        <v>119</v>
      </c>
      <c r="C45" s="172">
        <v>0</v>
      </c>
      <c r="D45" s="172">
        <v>0</v>
      </c>
      <c r="E45" s="173">
        <v>0</v>
      </c>
      <c r="F45" s="180">
        <v>0</v>
      </c>
      <c r="G45" s="172">
        <v>0</v>
      </c>
      <c r="H45" s="173">
        <v>0</v>
      </c>
      <c r="I45" s="180">
        <v>0</v>
      </c>
      <c r="J45" s="172">
        <v>0</v>
      </c>
      <c r="K45" s="172">
        <v>0</v>
      </c>
      <c r="L45" s="180">
        <v>0</v>
      </c>
      <c r="M45" s="172">
        <v>0</v>
      </c>
      <c r="N45" s="173">
        <v>0</v>
      </c>
      <c r="O45" s="173">
        <v>0</v>
      </c>
      <c r="P45" s="173">
        <v>0</v>
      </c>
      <c r="Q45" s="173">
        <v>0</v>
      </c>
      <c r="R45" s="180">
        <v>0</v>
      </c>
      <c r="S45" s="172">
        <v>0</v>
      </c>
      <c r="T45" s="180">
        <v>0</v>
      </c>
      <c r="U45" s="172">
        <v>0</v>
      </c>
      <c r="V45" s="180">
        <v>0</v>
      </c>
    </row>
    <row r="46" spans="1:22" x14ac:dyDescent="0.25">
      <c r="A46" s="168">
        <v>235</v>
      </c>
      <c r="B46" s="167" t="s">
        <v>120</v>
      </c>
      <c r="C46" s="172">
        <v>0</v>
      </c>
      <c r="D46" s="172">
        <v>0</v>
      </c>
      <c r="E46" s="173">
        <v>0</v>
      </c>
      <c r="F46" s="180">
        <v>0</v>
      </c>
      <c r="G46" s="172">
        <v>0</v>
      </c>
      <c r="H46" s="173">
        <v>0</v>
      </c>
      <c r="I46" s="180">
        <v>0</v>
      </c>
      <c r="J46" s="172">
        <v>0</v>
      </c>
      <c r="K46" s="172">
        <v>0</v>
      </c>
      <c r="L46" s="180">
        <v>0</v>
      </c>
      <c r="M46" s="172">
        <v>0</v>
      </c>
      <c r="N46" s="173">
        <v>0</v>
      </c>
      <c r="O46" s="173">
        <v>0</v>
      </c>
      <c r="P46" s="173">
        <v>0</v>
      </c>
      <c r="Q46" s="173">
        <v>0</v>
      </c>
      <c r="R46" s="180">
        <v>0</v>
      </c>
      <c r="S46" s="172">
        <v>0</v>
      </c>
      <c r="T46" s="180">
        <v>0</v>
      </c>
      <c r="U46" s="172">
        <v>0</v>
      </c>
      <c r="V46" s="180">
        <v>0</v>
      </c>
    </row>
    <row r="47" spans="1:22" x14ac:dyDescent="0.25">
      <c r="A47" s="168">
        <v>601</v>
      </c>
      <c r="B47" s="167" t="s">
        <v>121</v>
      </c>
      <c r="C47" s="172">
        <v>0</v>
      </c>
      <c r="D47" s="172">
        <v>0</v>
      </c>
      <c r="E47" s="173">
        <v>0</v>
      </c>
      <c r="F47" s="180">
        <v>0</v>
      </c>
      <c r="G47" s="172">
        <v>0</v>
      </c>
      <c r="H47" s="173">
        <v>0</v>
      </c>
      <c r="I47" s="180">
        <v>0</v>
      </c>
      <c r="J47" s="172">
        <v>0</v>
      </c>
      <c r="K47" s="172">
        <v>0</v>
      </c>
      <c r="L47" s="180">
        <v>0</v>
      </c>
      <c r="M47" s="172">
        <v>0</v>
      </c>
      <c r="N47" s="173">
        <v>0</v>
      </c>
      <c r="O47" s="173">
        <v>0</v>
      </c>
      <c r="P47" s="173">
        <v>0</v>
      </c>
      <c r="Q47" s="173">
        <v>0</v>
      </c>
      <c r="R47" s="180">
        <v>0</v>
      </c>
      <c r="S47" s="172">
        <v>0</v>
      </c>
      <c r="T47" s="180">
        <v>0</v>
      </c>
      <c r="U47" s="172">
        <v>0</v>
      </c>
      <c r="V47" s="180">
        <v>0</v>
      </c>
    </row>
    <row r="48" spans="1:22" x14ac:dyDescent="0.25">
      <c r="A48" s="168">
        <v>602</v>
      </c>
      <c r="B48" s="167" t="s">
        <v>122</v>
      </c>
      <c r="C48" s="172">
        <v>0</v>
      </c>
      <c r="D48" s="172">
        <v>0</v>
      </c>
      <c r="E48" s="173">
        <v>0</v>
      </c>
      <c r="F48" s="180">
        <v>0</v>
      </c>
      <c r="G48" s="172">
        <v>0</v>
      </c>
      <c r="H48" s="173">
        <v>0</v>
      </c>
      <c r="I48" s="180">
        <v>0</v>
      </c>
      <c r="J48" s="172">
        <v>0</v>
      </c>
      <c r="K48" s="172">
        <v>0</v>
      </c>
      <c r="L48" s="180">
        <v>0</v>
      </c>
      <c r="M48" s="172">
        <v>0</v>
      </c>
      <c r="N48" s="173">
        <v>0</v>
      </c>
      <c r="O48" s="173">
        <v>0</v>
      </c>
      <c r="P48" s="173">
        <v>0</v>
      </c>
      <c r="Q48" s="173">
        <v>0</v>
      </c>
      <c r="R48" s="180">
        <v>0</v>
      </c>
      <c r="S48" s="172">
        <v>0</v>
      </c>
      <c r="T48" s="180">
        <v>0</v>
      </c>
      <c r="U48" s="172">
        <v>0</v>
      </c>
      <c r="V48" s="180">
        <v>0</v>
      </c>
    </row>
    <row r="49" spans="1:22" x14ac:dyDescent="0.25">
      <c r="A49" s="168">
        <v>603</v>
      </c>
      <c r="B49" s="167" t="s">
        <v>123</v>
      </c>
      <c r="C49" s="172">
        <v>0</v>
      </c>
      <c r="D49" s="172">
        <v>0</v>
      </c>
      <c r="E49" s="173">
        <v>0</v>
      </c>
      <c r="F49" s="180">
        <v>0</v>
      </c>
      <c r="G49" s="172">
        <v>0</v>
      </c>
      <c r="H49" s="173">
        <v>0</v>
      </c>
      <c r="I49" s="180">
        <v>0</v>
      </c>
      <c r="J49" s="172">
        <v>0</v>
      </c>
      <c r="K49" s="172">
        <v>0</v>
      </c>
      <c r="L49" s="180">
        <v>0</v>
      </c>
      <c r="M49" s="172">
        <v>0</v>
      </c>
      <c r="N49" s="173">
        <v>0</v>
      </c>
      <c r="O49" s="173">
        <v>0</v>
      </c>
      <c r="P49" s="173">
        <v>0</v>
      </c>
      <c r="Q49" s="173">
        <v>0</v>
      </c>
      <c r="R49" s="180">
        <v>0</v>
      </c>
      <c r="S49" s="172">
        <v>0</v>
      </c>
      <c r="T49" s="180">
        <v>0</v>
      </c>
      <c r="U49" s="172">
        <v>0</v>
      </c>
      <c r="V49" s="180">
        <v>0</v>
      </c>
    </row>
    <row r="50" spans="1:22" x14ac:dyDescent="0.25">
      <c r="A50" s="168">
        <v>604</v>
      </c>
      <c r="B50" s="167" t="s">
        <v>124</v>
      </c>
      <c r="C50" s="174">
        <v>0</v>
      </c>
      <c r="D50" s="174">
        <v>0</v>
      </c>
      <c r="E50" s="175">
        <v>0</v>
      </c>
      <c r="F50" s="181">
        <v>0</v>
      </c>
      <c r="G50" s="174">
        <v>0</v>
      </c>
      <c r="H50" s="175">
        <v>0</v>
      </c>
      <c r="I50" s="181">
        <v>0</v>
      </c>
      <c r="J50" s="174">
        <v>0</v>
      </c>
      <c r="K50" s="174">
        <v>0</v>
      </c>
      <c r="L50" s="181">
        <v>0</v>
      </c>
      <c r="M50" s="174">
        <v>0</v>
      </c>
      <c r="N50" s="175">
        <v>0</v>
      </c>
      <c r="O50" s="175">
        <v>0</v>
      </c>
      <c r="P50" s="175">
        <v>0</v>
      </c>
      <c r="Q50" s="175">
        <v>0</v>
      </c>
      <c r="R50" s="181">
        <v>0</v>
      </c>
      <c r="S50" s="174">
        <v>0</v>
      </c>
      <c r="T50" s="181">
        <v>0</v>
      </c>
      <c r="U50" s="174">
        <v>0</v>
      </c>
      <c r="V50" s="181">
        <v>0</v>
      </c>
    </row>
    <row r="51" spans="1:22" ht="15.75" thickBot="1" x14ac:dyDescent="0.3">
      <c r="A51" s="183"/>
      <c r="B51" s="184" t="s">
        <v>125</v>
      </c>
      <c r="C51" s="195">
        <f>SUM(C7:C50)</f>
        <v>5971926.3500000006</v>
      </c>
      <c r="D51" s="193">
        <f t="shared" ref="D51:R51" si="0">SUM(D7:D50)</f>
        <v>30653823.059999999</v>
      </c>
      <c r="E51" s="185">
        <f t="shared" si="0"/>
        <v>113853.65000000001</v>
      </c>
      <c r="F51" s="186">
        <f t="shared" si="0"/>
        <v>1967672.01</v>
      </c>
      <c r="G51" s="193">
        <f>SUM(G7:G50)</f>
        <v>47573963.189999998</v>
      </c>
      <c r="H51" s="185">
        <f>SUM(H7:H50)</f>
        <v>148451.71000000002</v>
      </c>
      <c r="I51" s="186">
        <f>SUM(I7:I50)</f>
        <v>6896243.1699999999</v>
      </c>
      <c r="J51" s="195">
        <f t="shared" si="0"/>
        <v>1346873.05</v>
      </c>
      <c r="K51" s="195">
        <f t="shared" si="0"/>
        <v>5383941.8300000001</v>
      </c>
      <c r="L51" s="186">
        <f t="shared" si="0"/>
        <v>64049.32</v>
      </c>
      <c r="M51" s="193">
        <f t="shared" si="0"/>
        <v>13854060.189999999</v>
      </c>
      <c r="N51" s="185">
        <f t="shared" si="0"/>
        <v>185787.82</v>
      </c>
      <c r="O51" s="185">
        <f t="shared" si="0"/>
        <v>68197.570000000007</v>
      </c>
      <c r="P51" s="185">
        <f t="shared" si="0"/>
        <v>0</v>
      </c>
      <c r="Q51" s="185">
        <f t="shared" si="0"/>
        <v>0</v>
      </c>
      <c r="R51" s="186">
        <f t="shared" si="0"/>
        <v>816180.68</v>
      </c>
      <c r="S51" s="195">
        <f>SUM(S7:S50)</f>
        <v>80231.009999999995</v>
      </c>
      <c r="T51" s="186">
        <f>SUM(T7:T50)</f>
        <v>25183.38</v>
      </c>
      <c r="U51" s="195">
        <f>SUM(U7:U50)</f>
        <v>814190.19</v>
      </c>
      <c r="V51" s="186">
        <f>SUM(V7:V50)</f>
        <v>45256.729999999996</v>
      </c>
    </row>
    <row r="52" spans="1:22" ht="15.75" thickTop="1" x14ac:dyDescent="0.25"/>
    <row r="53" spans="1:22" x14ac:dyDescent="0.25">
      <c r="B53" s="400" t="s">
        <v>402</v>
      </c>
      <c r="C53" s="398">
        <v>0</v>
      </c>
      <c r="F53" s="398">
        <v>11727.95</v>
      </c>
      <c r="I53" s="398">
        <v>0</v>
      </c>
      <c r="J53" s="398">
        <v>0</v>
      </c>
      <c r="L53" s="398">
        <v>0</v>
      </c>
      <c r="R53" s="398">
        <v>0</v>
      </c>
      <c r="T53" s="398">
        <v>0</v>
      </c>
      <c r="V53" s="398">
        <v>0</v>
      </c>
    </row>
    <row r="54" spans="1:22" x14ac:dyDescent="0.25">
      <c r="B54" s="400" t="s">
        <v>400</v>
      </c>
      <c r="C54" s="398">
        <v>416608.67</v>
      </c>
      <c r="F54" s="398">
        <v>17437596.510000002</v>
      </c>
      <c r="I54" s="398">
        <v>543626.41</v>
      </c>
      <c r="J54" s="398">
        <v>7289.93</v>
      </c>
      <c r="L54" s="398">
        <v>3793.21</v>
      </c>
      <c r="R54" s="398">
        <v>5541.19</v>
      </c>
      <c r="T54" s="398">
        <v>0</v>
      </c>
      <c r="V54" s="398">
        <v>0</v>
      </c>
    </row>
    <row r="55" spans="1:22" x14ac:dyDescent="0.25">
      <c r="B55" s="400" t="s">
        <v>433</v>
      </c>
      <c r="C55" s="398">
        <v>5555317.6799999997</v>
      </c>
      <c r="F55" s="398">
        <v>15286024.26</v>
      </c>
      <c r="I55" s="398">
        <v>54075031.659999996</v>
      </c>
      <c r="J55" s="398">
        <v>1339583.1200000001</v>
      </c>
      <c r="L55" s="398">
        <v>5444197.9400000004</v>
      </c>
      <c r="R55" s="398">
        <v>14918685.07</v>
      </c>
      <c r="T55" s="398">
        <v>105414.39</v>
      </c>
      <c r="V55" s="398">
        <v>859446.92</v>
      </c>
    </row>
    <row r="56" spans="1:22" s="402" customFormat="1" x14ac:dyDescent="0.25">
      <c r="B56" s="401" t="s">
        <v>401</v>
      </c>
      <c r="C56" s="403">
        <f>SUM(C53:C55)</f>
        <v>5971926.3499999996</v>
      </c>
      <c r="F56" s="403">
        <f>SUM(F53:F55)</f>
        <v>32735348.719999999</v>
      </c>
      <c r="I56" s="403">
        <f>SUM(I53:I55)</f>
        <v>54618658.069999993</v>
      </c>
      <c r="J56" s="403">
        <f>SUM(J53:J55)</f>
        <v>1346873.05</v>
      </c>
      <c r="L56" s="403">
        <f>SUM(L53:L55)</f>
        <v>5447991.1500000004</v>
      </c>
      <c r="R56" s="403">
        <f>SUM(R53:R55)</f>
        <v>14924226.26</v>
      </c>
      <c r="T56" s="403">
        <f>SUM(T53:T55)</f>
        <v>105414.39</v>
      </c>
      <c r="V56" s="403">
        <f>SUM(V53:V55)</f>
        <v>859446.92</v>
      </c>
    </row>
    <row r="57" spans="1:22" x14ac:dyDescent="0.25">
      <c r="C57" s="399">
        <f>C56-C51</f>
        <v>0</v>
      </c>
      <c r="F57" s="399">
        <f>F56-D51-E51-F51</f>
        <v>0</v>
      </c>
      <c r="I57" s="399">
        <f>I56-G51-H51-I51</f>
        <v>0</v>
      </c>
      <c r="J57" s="399">
        <f>J56-J51</f>
        <v>0</v>
      </c>
      <c r="L57" s="399">
        <f>L56-K51-L51</f>
        <v>2.9831426218152046E-10</v>
      </c>
      <c r="R57" s="399">
        <f>R56-M51-N51-O51-P51-Q51-R51</f>
        <v>0</v>
      </c>
      <c r="T57" s="399">
        <f>T56-S51-T51</f>
        <v>0</v>
      </c>
      <c r="V57" s="399">
        <f>V56-U51-V51</f>
        <v>1.0186340659856796E-10</v>
      </c>
    </row>
  </sheetData>
  <mergeCells count="13">
    <mergeCell ref="U4:V4"/>
    <mergeCell ref="U5:V5"/>
    <mergeCell ref="B1:I1"/>
    <mergeCell ref="D4:F4"/>
    <mergeCell ref="K4:L4"/>
    <mergeCell ref="G4:I4"/>
    <mergeCell ref="M4:R4"/>
    <mergeCell ref="S4:T4"/>
    <mergeCell ref="S5:T5"/>
    <mergeCell ref="D5:F5"/>
    <mergeCell ref="K5:L5"/>
    <mergeCell ref="G5:I5"/>
    <mergeCell ref="M5:R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Consolidated FM11 - 10.10.22</vt:lpstr>
      <vt:lpstr>PAR's</vt:lpstr>
      <vt:lpstr>Form 11's Entry</vt:lpstr>
      <vt:lpstr>Prior Yr Expenses Entry</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Edelblut, Louis (Frank)</dc:creator>
  <cp:lastModifiedBy>Houghton, Kimberly C</cp:lastModifiedBy>
  <cp:lastPrinted>2022-09-08T13:05:10Z</cp:lastPrinted>
  <dcterms:created xsi:type="dcterms:W3CDTF">2021-01-20T18:37:07Z</dcterms:created>
  <dcterms:modified xsi:type="dcterms:W3CDTF">2023-01-11T15:31:48Z</dcterms:modified>
</cp:coreProperties>
</file>