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CTA\BCD\T&amp;T\FY22 (SY20-21)\"/>
    </mc:Choice>
  </mc:AlternateContent>
  <xr:revisionPtr revIDLastSave="0" documentId="8_{E1D460D2-C202-47F6-8BAC-05901D778357}" xr6:coauthVersionLast="47" xr6:coauthVersionMax="47" xr10:uidLastSave="{00000000-0000-0000-0000-000000000000}"/>
  <bookViews>
    <workbookView xWindow="20370" yWindow="-120" windowWidth="19440" windowHeight="15000" firstSheet="43" activeTab="46" xr2:uid="{00000000-000D-0000-FFFF-FFFF00000000}"/>
  </bookViews>
  <sheets>
    <sheet name="TT entry &amp; transportation" sheetId="40" r:id="rId1"/>
    <sheet name="Sheet15" sheetId="64" r:id="rId2"/>
    <sheet name="Sheet16" sheetId="65" r:id="rId3"/>
    <sheet name="Sheet17" sheetId="66" r:id="rId4"/>
    <sheet name="Sheet18" sheetId="67" r:id="rId5"/>
    <sheet name="Sheet19" sheetId="68" r:id="rId6"/>
    <sheet name="Sheet20" sheetId="69" r:id="rId7"/>
    <sheet name="Sheet21" sheetId="70" r:id="rId8"/>
    <sheet name="Sheet22" sheetId="71" r:id="rId9"/>
    <sheet name="Sheet23" sheetId="72" r:id="rId10"/>
    <sheet name="Sheet24" sheetId="73" r:id="rId11"/>
    <sheet name="Sheet25" sheetId="74" r:id="rId12"/>
    <sheet name="Sheet26" sheetId="75" r:id="rId13"/>
    <sheet name="Sheet27" sheetId="76" r:id="rId14"/>
    <sheet name="Sheet28" sheetId="77" r:id="rId15"/>
    <sheet name="Sheet29" sheetId="78" r:id="rId16"/>
    <sheet name="Sheet30" sheetId="79" r:id="rId17"/>
    <sheet name="Sheet31" sheetId="80" r:id="rId18"/>
    <sheet name="Sheet32" sheetId="81" r:id="rId19"/>
    <sheet name="Sheet33" sheetId="82" r:id="rId20"/>
    <sheet name="Sheet11" sheetId="60" r:id="rId21"/>
    <sheet name="Sheet1" sheetId="51" r:id="rId22"/>
    <sheet name="Sheet3" sheetId="52" r:id="rId23"/>
    <sheet name="Sheet4" sheetId="53" r:id="rId24"/>
    <sheet name="Sheet5" sheetId="54" r:id="rId25"/>
    <sheet name="Sheet6" sheetId="55" r:id="rId26"/>
    <sheet name="Sheet7" sheetId="56" r:id="rId27"/>
    <sheet name="Sheet8" sheetId="57" r:id="rId28"/>
    <sheet name="Sheet9" sheetId="58" r:id="rId29"/>
    <sheet name="Sheet10" sheetId="59" r:id="rId30"/>
    <sheet name="ALT-ED" sheetId="32" r:id="rId31"/>
    <sheet name="Sheet42" sheetId="91" r:id="rId32"/>
    <sheet name="T&amp;T Payment Checklist" sheetId="44" r:id="rId33"/>
    <sheet name="Differential" sheetId="41" r:id="rId34"/>
    <sheet name="CTE TRANS" sheetId="2" r:id="rId35"/>
    <sheet name="Payment T&amp;T LAWSON" sheetId="27" r:id="rId36"/>
    <sheet name="Sheet12" sheetId="61" r:id="rId37"/>
    <sheet name="Sheet13" sheetId="62" r:id="rId38"/>
    <sheet name="Sheet14" sheetId="63" r:id="rId39"/>
    <sheet name="Payment Breakdowns" sheetId="33" r:id="rId40"/>
    <sheet name="VT Payment Breakdowns" sheetId="39" r:id="rId41"/>
    <sheet name="FY22 Est. to Fully Fund T&amp;T" sheetId="49" r:id="rId42"/>
    <sheet name="Sheet34" sheetId="83" r:id="rId43"/>
    <sheet name="Sheet35" sheetId="84" r:id="rId44"/>
    <sheet name="Sheet36" sheetId="85" r:id="rId45"/>
    <sheet name="Sheet37" sheetId="86" r:id="rId46"/>
    <sheet name="T&amp;T Report for Website" sheetId="45" r:id="rId47"/>
    <sheet name="T&amp;T Report for Admin Srvs" sheetId="48" r:id="rId48"/>
    <sheet name="T&amp;T Payment Summary" sheetId="46" r:id="rId49"/>
    <sheet name="Tuition Reimb. Rate Ave." sheetId="47" r:id="rId50"/>
    <sheet name="Sheet38" sheetId="87" r:id="rId51"/>
    <sheet name="Sheet39" sheetId="88" r:id="rId52"/>
    <sheet name="Sheet40" sheetId="89" r:id="rId53"/>
    <sheet name="Sheet41" sheetId="90" r:id="rId54"/>
    <sheet name="Sheet2" sheetId="50" r:id="rId55"/>
  </sheets>
  <definedNames>
    <definedName name="_xlnm.Print_Area" localSheetId="33">Differential!$A$1:$M$33</definedName>
    <definedName name="_xlnm.Print_Area" localSheetId="41">'FY22 Est. to Fully Fund T&amp;T'!$A$1:$I$86</definedName>
    <definedName name="_xlnm.Print_Area" localSheetId="39">'Payment Breakdowns'!$A$1:$F$629</definedName>
    <definedName name="_xlnm.Print_Area" localSheetId="35">'Payment T&amp;T LAWSON'!$A$1:$Q$98</definedName>
    <definedName name="_xlnm.Print_Area" localSheetId="46">'T&amp;T Report for Website'!$A$1:$E$114</definedName>
    <definedName name="_xlnm.Print_Area" localSheetId="0">'TT entry &amp; transportation'!$A$2:$Q$253</definedName>
    <definedName name="_xlnm.Print_Area" localSheetId="40">'VT Payment Breakdowns'!$A$1:$E$209</definedName>
    <definedName name="_xlnm.Print_Titles" localSheetId="35">'Payment T&amp;T LAWSON'!$1:$1</definedName>
    <definedName name="_xlnm.Print_Titles" localSheetId="47">'T&amp;T Report for Admin Srvs'!$1:$6</definedName>
    <definedName name="_xlnm.Print_Titles" localSheetId="0">'TT entry &amp; transportation'!$A:$B,'TT entry &amp; transportation'!$2:$2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5" i="33" l="1"/>
  <c r="G77" i="49" l="1"/>
  <c r="E77" i="49"/>
  <c r="C77" i="49"/>
  <c r="D77" i="49" s="1"/>
  <c r="N19" i="49"/>
  <c r="P19" i="49" s="1"/>
  <c r="O18" i="49"/>
  <c r="N18" i="49"/>
  <c r="M18" i="49"/>
  <c r="P18" i="49" s="1"/>
  <c r="P17" i="49"/>
  <c r="O16" i="49"/>
  <c r="N16" i="49"/>
  <c r="N15" i="49"/>
  <c r="P15" i="49" s="1"/>
  <c r="O14" i="49"/>
  <c r="N14" i="49"/>
  <c r="M14" i="49"/>
  <c r="P13" i="49"/>
  <c r="O12" i="49"/>
  <c r="P12" i="49" s="1"/>
  <c r="N12" i="49"/>
  <c r="M12" i="49"/>
  <c r="P11" i="49"/>
  <c r="O11" i="49"/>
  <c r="N10" i="49"/>
  <c r="N21" i="49" s="1"/>
  <c r="N22" i="49" s="1"/>
  <c r="P10" i="49" l="1"/>
  <c r="P14" i="49"/>
  <c r="O21" i="49"/>
  <c r="O22" i="49" s="1"/>
  <c r="P16" i="49"/>
  <c r="F77" i="49"/>
  <c r="H77" i="49" s="1"/>
  <c r="P21" i="49"/>
  <c r="P22" i="49" s="1"/>
  <c r="M21" i="49"/>
  <c r="M22" i="49" s="1"/>
  <c r="O103" i="40"/>
  <c r="E12" i="49"/>
  <c r="B87" i="45" l="1"/>
  <c r="D576" i="33" l="1"/>
  <c r="D575" i="33"/>
  <c r="D574" i="33"/>
  <c r="D573" i="33"/>
  <c r="E573" i="33" s="1"/>
  <c r="C576" i="33"/>
  <c r="C573" i="33"/>
  <c r="C295" i="33"/>
  <c r="C59" i="33"/>
  <c r="E576" i="33" l="1"/>
  <c r="F29" i="41"/>
  <c r="F28" i="41"/>
  <c r="F25" i="41"/>
  <c r="F22" i="41"/>
  <c r="F21" i="41"/>
  <c r="F20" i="41"/>
  <c r="F18" i="41"/>
  <c r="F15" i="41"/>
  <c r="F14" i="41"/>
  <c r="F12" i="41"/>
  <c r="F11" i="41"/>
  <c r="F10" i="41"/>
  <c r="F9" i="41"/>
  <c r="F8" i="41"/>
  <c r="F7" i="41"/>
  <c r="C11" i="41"/>
  <c r="C60" i="33" s="1"/>
  <c r="C28" i="41"/>
  <c r="C20" i="41"/>
  <c r="C296" i="33" l="1"/>
  <c r="C574" i="33"/>
  <c r="O36" i="32"/>
  <c r="O40" i="32"/>
  <c r="O42" i="32"/>
  <c r="N9" i="32"/>
  <c r="O38" i="32" l="1"/>
  <c r="N77" i="40"/>
  <c r="G77" i="27" l="1"/>
  <c r="P198" i="40" l="1"/>
  <c r="P51" i="40"/>
  <c r="K23" i="40"/>
  <c r="C84" i="33" s="1"/>
  <c r="P23" i="40" l="1"/>
  <c r="AB33" i="2" s="1"/>
  <c r="O134" i="40" l="1"/>
  <c r="P134" i="40" s="1"/>
  <c r="O66" i="40" l="1"/>
  <c r="H66" i="40"/>
  <c r="P32" i="40" l="1"/>
  <c r="P33" i="40"/>
  <c r="H68" i="2" s="1"/>
  <c r="K33" i="40"/>
  <c r="C111" i="33" s="1"/>
  <c r="P28" i="40"/>
  <c r="K28" i="40"/>
  <c r="C105" i="33" s="1"/>
  <c r="H14" i="2" l="1"/>
  <c r="O77" i="40"/>
  <c r="N213" i="40" l="1"/>
  <c r="P213" i="40" s="1"/>
  <c r="C25" i="41"/>
  <c r="C575" i="33" l="1"/>
  <c r="C577" i="33" s="1"/>
  <c r="C24" i="41"/>
  <c r="O94" i="40"/>
  <c r="C18" i="41" l="1"/>
  <c r="C21" i="41"/>
  <c r="C298" i="33" s="1"/>
  <c r="C22" i="41"/>
  <c r="C299" i="33" s="1"/>
  <c r="C297" i="33" l="1"/>
  <c r="C17" i="41"/>
  <c r="C10" i="41"/>
  <c r="C64" i="33" s="1"/>
  <c r="C14" i="41" l="1"/>
  <c r="C61" i="33" s="1"/>
  <c r="C12" i="41"/>
  <c r="C62" i="33" s="1"/>
  <c r="C9" i="41"/>
  <c r="C65" i="33" s="1"/>
  <c r="C8" i="41"/>
  <c r="C63" i="33" s="1"/>
  <c r="C7" i="41"/>
  <c r="C58" i="33" l="1"/>
  <c r="C6" i="41"/>
  <c r="P193" i="40"/>
  <c r="K193" i="40"/>
  <c r="C137" i="39" s="1"/>
  <c r="E78" i="2" l="1"/>
  <c r="C145" i="39"/>
  <c r="N14" i="32"/>
  <c r="O44" i="32" s="1"/>
  <c r="O45" i="32" s="1"/>
  <c r="P126" i="40" l="1"/>
  <c r="K126" i="40"/>
  <c r="P143" i="40" l="1"/>
  <c r="Z31" i="2" s="1"/>
  <c r="K143" i="40"/>
  <c r="C429" i="33" s="1"/>
  <c r="N66" i="40" l="1"/>
  <c r="P80" i="40"/>
  <c r="P117" i="40"/>
  <c r="N67" i="40" l="1"/>
  <c r="E66" i="40" l="1"/>
  <c r="G78" i="27"/>
  <c r="P37" i="40"/>
  <c r="H79" i="2" s="1"/>
  <c r="AL79" i="2" s="1"/>
  <c r="K78" i="27" s="1"/>
  <c r="K37" i="40"/>
  <c r="C114" i="33" s="1"/>
  <c r="C87" i="45" l="1"/>
  <c r="D87" i="45" s="1"/>
  <c r="N78" i="27"/>
  <c r="R91" i="48" s="1"/>
  <c r="M14" i="32"/>
  <c r="K25" i="41" l="1"/>
  <c r="J24" i="41"/>
  <c r="P99" i="40" l="1"/>
  <c r="U11" i="2" s="1"/>
  <c r="K99" i="40"/>
  <c r="C341" i="33" s="1"/>
  <c r="D66" i="40" l="1"/>
  <c r="G26" i="27" l="1"/>
  <c r="P120" i="40"/>
  <c r="W26" i="2" s="1"/>
  <c r="AL26" i="2" s="1"/>
  <c r="K120" i="40"/>
  <c r="C370" i="33" s="1"/>
  <c r="K26" i="27" l="1"/>
  <c r="N26" i="27" s="1"/>
  <c r="R40" i="48" s="1"/>
  <c r="C36" i="45"/>
  <c r="D36" i="45" s="1"/>
  <c r="P127" i="40"/>
  <c r="W73" i="2" s="1"/>
  <c r="K127" i="40"/>
  <c r="C374" i="33" s="1"/>
  <c r="P82" i="40" l="1"/>
  <c r="O49" i="2" s="1"/>
  <c r="K82" i="40"/>
  <c r="C231" i="33" s="1"/>
  <c r="P209" i="40" l="1"/>
  <c r="P77" i="40" l="1"/>
  <c r="K18" i="41"/>
  <c r="L18" i="41" s="1"/>
  <c r="K7" i="41"/>
  <c r="K152" i="40" l="1"/>
  <c r="C452" i="33" s="1"/>
  <c r="P152" i="40"/>
  <c r="AC14" i="2" s="1"/>
  <c r="P30" i="40" l="1"/>
  <c r="H48" i="2" s="1"/>
  <c r="K30" i="40"/>
  <c r="C107" i="33" s="1"/>
  <c r="P130" i="40" l="1"/>
  <c r="W84" i="2" s="1"/>
  <c r="K130" i="40"/>
  <c r="C378" i="33" s="1"/>
  <c r="K117" i="40" l="1"/>
  <c r="C368" i="33" s="1"/>
  <c r="P81" i="40" l="1"/>
  <c r="Q83" i="40" s="1"/>
  <c r="P84" i="40"/>
  <c r="P48" i="40"/>
  <c r="O33" i="2" l="1"/>
  <c r="K3" i="40"/>
  <c r="K4" i="40" s="1"/>
  <c r="X4" i="40" s="1"/>
  <c r="B32" i="49" l="1"/>
  <c r="C32" i="49" s="1"/>
  <c r="D32" i="49" s="1"/>
  <c r="B31" i="49"/>
  <c r="C31" i="49" s="1"/>
  <c r="D31" i="49" s="1"/>
  <c r="B30" i="49"/>
  <c r="C30" i="49" s="1"/>
  <c r="D30" i="49" s="1"/>
  <c r="S40" i="32"/>
  <c r="I40" i="32"/>
  <c r="K42" i="32"/>
  <c r="J42" i="32"/>
  <c r="I42" i="32"/>
  <c r="R40" i="32"/>
  <c r="Q40" i="32"/>
  <c r="Q38" i="32"/>
  <c r="S9" i="32"/>
  <c r="P245" i="40" s="1"/>
  <c r="D88" i="49"/>
  <c r="K29" i="40"/>
  <c r="C11" i="49"/>
  <c r="D11" i="49" s="1"/>
  <c r="F11" i="49" s="1"/>
  <c r="C10" i="49"/>
  <c r="D10" i="49" s="1"/>
  <c r="F10" i="49" s="1"/>
  <c r="C9" i="49"/>
  <c r="D9" i="49" s="1"/>
  <c r="F9" i="49" s="1"/>
  <c r="F12" i="49" l="1"/>
  <c r="C106" i="33"/>
  <c r="R38" i="32"/>
  <c r="B29" i="49" l="1"/>
  <c r="C29" i="49" s="1"/>
  <c r="B28" i="49"/>
  <c r="C28" i="49" s="1"/>
  <c r="D28" i="49" s="1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8" i="49"/>
  <c r="B7" i="49"/>
  <c r="B6" i="49"/>
  <c r="B5" i="49"/>
  <c r="P35" i="40" l="1"/>
  <c r="H65" i="2" s="1"/>
  <c r="K35" i="40"/>
  <c r="C110" i="33" s="1"/>
  <c r="K100" i="40" l="1"/>
  <c r="K220" i="40"/>
  <c r="K212" i="40"/>
  <c r="B28" i="41" s="1"/>
  <c r="K174" i="40"/>
  <c r="K171" i="40"/>
  <c r="K167" i="40"/>
  <c r="K164" i="40"/>
  <c r="K161" i="40"/>
  <c r="K154" i="40"/>
  <c r="K141" i="40"/>
  <c r="K138" i="40"/>
  <c r="K135" i="40"/>
  <c r="K134" i="40"/>
  <c r="K124" i="40"/>
  <c r="K121" i="40"/>
  <c r="K113" i="40"/>
  <c r="K112" i="40"/>
  <c r="K110" i="40"/>
  <c r="K106" i="40"/>
  <c r="K105" i="40"/>
  <c r="K104" i="40"/>
  <c r="C346" i="33" s="1"/>
  <c r="K95" i="40"/>
  <c r="K89" i="40"/>
  <c r="K81" i="40"/>
  <c r="K80" i="40"/>
  <c r="K77" i="40"/>
  <c r="K76" i="40"/>
  <c r="K75" i="40"/>
  <c r="K73" i="40"/>
  <c r="K72" i="40"/>
  <c r="K74" i="40" s="1"/>
  <c r="K68" i="40"/>
  <c r="K66" i="40"/>
  <c r="K65" i="40"/>
  <c r="K54" i="40"/>
  <c r="K52" i="40"/>
  <c r="K49" i="40"/>
  <c r="K42" i="40"/>
  <c r="K41" i="40"/>
  <c r="K36" i="40"/>
  <c r="K34" i="40"/>
  <c r="K25" i="40"/>
  <c r="K24" i="40"/>
  <c r="K22" i="40"/>
  <c r="K225" i="40"/>
  <c r="K224" i="40"/>
  <c r="K223" i="40"/>
  <c r="K226" i="40" s="1"/>
  <c r="K221" i="40"/>
  <c r="K219" i="40"/>
  <c r="K218" i="40"/>
  <c r="K217" i="40"/>
  <c r="K216" i="40"/>
  <c r="K214" i="40"/>
  <c r="B29" i="41" s="1"/>
  <c r="K213" i="40"/>
  <c r="B25" i="41" s="1"/>
  <c r="K211" i="40"/>
  <c r="K210" i="40"/>
  <c r="B26" i="41" s="1"/>
  <c r="K209" i="40"/>
  <c r="K207" i="40"/>
  <c r="K206" i="40"/>
  <c r="C232" i="33" s="1"/>
  <c r="K204" i="40"/>
  <c r="K205" i="40" s="1"/>
  <c r="K202" i="40"/>
  <c r="K201" i="40"/>
  <c r="K200" i="40"/>
  <c r="K199" i="40"/>
  <c r="K198" i="40"/>
  <c r="K197" i="40"/>
  <c r="K196" i="40"/>
  <c r="K195" i="40"/>
  <c r="K192" i="40"/>
  <c r="K191" i="40"/>
  <c r="K190" i="40"/>
  <c r="K188" i="40"/>
  <c r="K187" i="40"/>
  <c r="K185" i="40"/>
  <c r="K184" i="40"/>
  <c r="K183" i="40"/>
  <c r="K182" i="40"/>
  <c r="K181" i="40"/>
  <c r="K180" i="40"/>
  <c r="K179" i="40"/>
  <c r="K178" i="40"/>
  <c r="K175" i="40"/>
  <c r="K173" i="40"/>
  <c r="K172" i="40"/>
  <c r="K169" i="40"/>
  <c r="K168" i="40"/>
  <c r="K166" i="40"/>
  <c r="K163" i="40"/>
  <c r="K162" i="40"/>
  <c r="K159" i="40"/>
  <c r="K160" i="40" s="1"/>
  <c r="K157" i="40"/>
  <c r="K156" i="40"/>
  <c r="K155" i="40"/>
  <c r="K153" i="40"/>
  <c r="K151" i="40"/>
  <c r="K150" i="40"/>
  <c r="K149" i="40"/>
  <c r="K148" i="40"/>
  <c r="K146" i="40"/>
  <c r="K145" i="40"/>
  <c r="K144" i="40"/>
  <c r="K142" i="40"/>
  <c r="K139" i="40"/>
  <c r="K137" i="40"/>
  <c r="K136" i="40"/>
  <c r="K133" i="40"/>
  <c r="K131" i="40"/>
  <c r="C379" i="33" s="1"/>
  <c r="K129" i="40"/>
  <c r="K128" i="40"/>
  <c r="K125" i="40"/>
  <c r="K123" i="40"/>
  <c r="K122" i="40"/>
  <c r="K119" i="40"/>
  <c r="K118" i="40"/>
  <c r="K115" i="40"/>
  <c r="K114" i="40"/>
  <c r="K111" i="40"/>
  <c r="K108" i="40"/>
  <c r="K107" i="40"/>
  <c r="K103" i="40"/>
  <c r="K102" i="40"/>
  <c r="K101" i="40"/>
  <c r="K98" i="40"/>
  <c r="K97" i="40"/>
  <c r="K94" i="40"/>
  <c r="K93" i="40"/>
  <c r="B18" i="41" s="1"/>
  <c r="K92" i="40"/>
  <c r="K91" i="40"/>
  <c r="K88" i="40"/>
  <c r="K87" i="40"/>
  <c r="C253" i="33" s="1"/>
  <c r="K86" i="40"/>
  <c r="K85" i="40"/>
  <c r="K84" i="40"/>
  <c r="K78" i="40"/>
  <c r="K70" i="40"/>
  <c r="K69" i="40"/>
  <c r="K67" i="40"/>
  <c r="K64" i="40"/>
  <c r="K63" i="40"/>
  <c r="K62" i="40"/>
  <c r="K61" i="40"/>
  <c r="K60" i="40"/>
  <c r="K58" i="40"/>
  <c r="K57" i="40"/>
  <c r="K56" i="40"/>
  <c r="K55" i="40"/>
  <c r="K53" i="40"/>
  <c r="K51" i="40"/>
  <c r="K50" i="40"/>
  <c r="K48" i="40"/>
  <c r="K47" i="40"/>
  <c r="K46" i="40"/>
  <c r="K45" i="40"/>
  <c r="K44" i="40"/>
  <c r="K43" i="40"/>
  <c r="K40" i="40"/>
  <c r="K38" i="40"/>
  <c r="K32" i="40"/>
  <c r="K31" i="40"/>
  <c r="K26" i="40"/>
  <c r="K20" i="40"/>
  <c r="K19" i="40"/>
  <c r="K18" i="40"/>
  <c r="B13" i="41" s="1"/>
  <c r="K17" i="40"/>
  <c r="K16" i="40"/>
  <c r="K15" i="40"/>
  <c r="K14" i="40"/>
  <c r="K13" i="40"/>
  <c r="K12" i="40"/>
  <c r="K10" i="40"/>
  <c r="K9" i="40"/>
  <c r="K8" i="40"/>
  <c r="K7" i="40"/>
  <c r="K6" i="40"/>
  <c r="K5" i="40"/>
  <c r="K11" i="40" s="1"/>
  <c r="D24" i="41"/>
  <c r="D25" i="41" l="1"/>
  <c r="E25" i="41" s="1"/>
  <c r="G25" i="41" s="1"/>
  <c r="E24" i="41"/>
  <c r="G24" i="41" s="1"/>
  <c r="F24" i="41"/>
  <c r="K21" i="40"/>
  <c r="K186" i="40"/>
  <c r="K189" i="40"/>
  <c r="K170" i="40"/>
  <c r="K194" i="40"/>
  <c r="K208" i="40"/>
  <c r="K215" i="40"/>
  <c r="E30" i="49" s="1"/>
  <c r="F30" i="49" s="1"/>
  <c r="K96" i="40"/>
  <c r="K39" i="40"/>
  <c r="K71" i="40"/>
  <c r="K176" i="40"/>
  <c r="K90" i="40"/>
  <c r="K79" i="40"/>
  <c r="K165" i="40"/>
  <c r="K59" i="40"/>
  <c r="K109" i="40"/>
  <c r="K203" i="40"/>
  <c r="K222" i="40"/>
  <c r="E31" i="49" s="1"/>
  <c r="F31" i="49" s="1"/>
  <c r="K27" i="40"/>
  <c r="K116" i="40"/>
  <c r="K147" i="40"/>
  <c r="K132" i="40"/>
  <c r="K140" i="40"/>
  <c r="K158" i="40"/>
  <c r="K83" i="40"/>
  <c r="E17" i="49" s="1"/>
  <c r="E32" i="49"/>
  <c r="F32" i="49" s="1"/>
  <c r="V11" i="40"/>
  <c r="D26" i="41" l="1"/>
  <c r="D27" i="41" s="1"/>
  <c r="D28" i="41" s="1"/>
  <c r="D29" i="41" s="1"/>
  <c r="I577" i="33"/>
  <c r="J83" i="27"/>
  <c r="K228" i="40"/>
  <c r="P104" i="40"/>
  <c r="U47" i="2" s="1"/>
  <c r="P18" i="40" l="1"/>
  <c r="G55" i="2" s="1"/>
  <c r="N8" i="2"/>
  <c r="C78" i="49" l="1"/>
  <c r="D78" i="49" s="1"/>
  <c r="C76" i="49"/>
  <c r="D76" i="49" s="1"/>
  <c r="C75" i="49"/>
  <c r="D75" i="49" s="1"/>
  <c r="C74" i="49"/>
  <c r="D74" i="49" s="1"/>
  <c r="E67" i="49" l="1"/>
  <c r="E63" i="49"/>
  <c r="E62" i="49"/>
  <c r="E61" i="49"/>
  <c r="E60" i="49"/>
  <c r="E52" i="49"/>
  <c r="E51" i="49"/>
  <c r="E50" i="49"/>
  <c r="E46" i="49"/>
  <c r="E38" i="49"/>
  <c r="E37" i="49"/>
  <c r="E35" i="49"/>
  <c r="C67" i="49"/>
  <c r="D67" i="49" s="1"/>
  <c r="C63" i="49"/>
  <c r="D63" i="49" s="1"/>
  <c r="C62" i="49"/>
  <c r="D62" i="49" s="1"/>
  <c r="C61" i="49"/>
  <c r="D61" i="49" s="1"/>
  <c r="C60" i="49"/>
  <c r="D60" i="49" s="1"/>
  <c r="C59" i="49"/>
  <c r="D59" i="49" s="1"/>
  <c r="C58" i="49"/>
  <c r="D58" i="49" s="1"/>
  <c r="C57" i="49"/>
  <c r="D57" i="49" s="1"/>
  <c r="C56" i="49"/>
  <c r="D56" i="49" s="1"/>
  <c r="C52" i="49"/>
  <c r="D52" i="49" s="1"/>
  <c r="C51" i="49"/>
  <c r="D51" i="49" s="1"/>
  <c r="C50" i="49"/>
  <c r="D50" i="49" s="1"/>
  <c r="C46" i="49"/>
  <c r="D46" i="49" s="1"/>
  <c r="C45" i="49"/>
  <c r="D45" i="49" s="1"/>
  <c r="C41" i="49"/>
  <c r="D41" i="49" s="1"/>
  <c r="C40" i="49"/>
  <c r="D40" i="49" s="1"/>
  <c r="C39" i="49"/>
  <c r="D39" i="49" s="1"/>
  <c r="C38" i="49"/>
  <c r="D38" i="49" s="1"/>
  <c r="C37" i="49"/>
  <c r="D37" i="49" s="1"/>
  <c r="C36" i="49"/>
  <c r="D36" i="49" s="1"/>
  <c r="C35" i="49"/>
  <c r="D35" i="49" s="1"/>
  <c r="C34" i="49"/>
  <c r="D34" i="49" s="1"/>
  <c r="D29" i="49"/>
  <c r="C27" i="49"/>
  <c r="D27" i="49" s="1"/>
  <c r="C26" i="49"/>
  <c r="D26" i="49" s="1"/>
  <c r="C25" i="49"/>
  <c r="D25" i="49" s="1"/>
  <c r="C24" i="49"/>
  <c r="D24" i="49" s="1"/>
  <c r="C23" i="49"/>
  <c r="D23" i="49" s="1"/>
  <c r="C22" i="49"/>
  <c r="D22" i="49" s="1"/>
  <c r="C21" i="49"/>
  <c r="D21" i="49" s="1"/>
  <c r="C20" i="49"/>
  <c r="D20" i="49" s="1"/>
  <c r="C19" i="49"/>
  <c r="D19" i="49" s="1"/>
  <c r="C18" i="49"/>
  <c r="D18" i="49" s="1"/>
  <c r="C17" i="49"/>
  <c r="D17" i="49" s="1"/>
  <c r="C16" i="49"/>
  <c r="D16" i="49" s="1"/>
  <c r="C15" i="49"/>
  <c r="D15" i="49" s="1"/>
  <c r="C14" i="49"/>
  <c r="D14" i="49" s="1"/>
  <c r="C13" i="49"/>
  <c r="D13" i="49" s="1"/>
  <c r="C8" i="49"/>
  <c r="D8" i="49" s="1"/>
  <c r="C7" i="49"/>
  <c r="D7" i="49" s="1"/>
  <c r="C6" i="49"/>
  <c r="D6" i="49" s="1"/>
  <c r="C5" i="49"/>
  <c r="D5" i="49" s="1"/>
  <c r="F67" i="49" l="1"/>
  <c r="F68" i="49" s="1"/>
  <c r="F61" i="49"/>
  <c r="F62" i="49"/>
  <c r="F63" i="49"/>
  <c r="F60" i="49"/>
  <c r="F52" i="49"/>
  <c r="F51" i="49"/>
  <c r="F50" i="49"/>
  <c r="F46" i="49"/>
  <c r="F37" i="49"/>
  <c r="F38" i="49"/>
  <c r="F35" i="49"/>
  <c r="E68" i="49"/>
  <c r="E53" i="49"/>
  <c r="G9" i="27"/>
  <c r="F53" i="49" l="1"/>
  <c r="W3" i="2" l="1"/>
  <c r="P118" i="40"/>
  <c r="W19" i="2" l="1"/>
  <c r="P87" i="40"/>
  <c r="P53" i="2" s="1"/>
  <c r="B22" i="41"/>
  <c r="A226" i="39" l="1"/>
  <c r="A209" i="39"/>
  <c r="D110" i="45" l="1"/>
  <c r="D102" i="45"/>
  <c r="D101" i="45"/>
  <c r="C69" i="45"/>
  <c r="A192" i="39" l="1"/>
  <c r="A174" i="39"/>
  <c r="A156" i="39"/>
  <c r="A130" i="39"/>
  <c r="A111" i="39"/>
  <c r="A92" i="39"/>
  <c r="A74" i="39"/>
  <c r="A56" i="39"/>
  <c r="A38" i="39"/>
  <c r="A20" i="39"/>
  <c r="A2" i="39"/>
  <c r="A41" i="33" l="1"/>
  <c r="I468" i="33"/>
  <c r="I487" i="33"/>
  <c r="A613" i="33"/>
  <c r="A590" i="33"/>
  <c r="A560" i="33"/>
  <c r="A539" i="33"/>
  <c r="A518" i="33"/>
  <c r="A497" i="33"/>
  <c r="A479" i="33"/>
  <c r="A424" i="33"/>
  <c r="A393" i="33"/>
  <c r="A364" i="33"/>
  <c r="A335" i="33"/>
  <c r="A313" i="33"/>
  <c r="A281" i="33"/>
  <c r="A246" i="33"/>
  <c r="A226" i="33"/>
  <c r="A204" i="33"/>
  <c r="A186" i="33"/>
  <c r="A157" i="33"/>
  <c r="A128" i="33"/>
  <c r="A101" i="33"/>
  <c r="A79" i="33"/>
  <c r="A20" i="33"/>
  <c r="I10" i="33"/>
  <c r="N70" i="27" l="1"/>
  <c r="K29" i="32"/>
  <c r="J29" i="32"/>
  <c r="I29" i="32"/>
  <c r="H29" i="32"/>
  <c r="G29" i="32"/>
  <c r="F29" i="32"/>
  <c r="K38" i="32"/>
  <c r="I38" i="32"/>
  <c r="L5" i="32"/>
  <c r="L29" i="32" l="1"/>
  <c r="K24" i="41"/>
  <c r="J17" i="41"/>
  <c r="K17" i="41" s="1"/>
  <c r="L17" i="41" s="1"/>
  <c r="D6" i="41"/>
  <c r="F6" i="41" s="1"/>
  <c r="J6" i="41"/>
  <c r="K6" i="41" s="1"/>
  <c r="L6" i="41" s="1"/>
  <c r="B7" i="41"/>
  <c r="I66" i="33" l="1"/>
  <c r="J11" i="27"/>
  <c r="D17" i="41"/>
  <c r="D299" i="33"/>
  <c r="D295" i="33"/>
  <c r="E295" i="33" s="1"/>
  <c r="D296" i="33"/>
  <c r="D298" i="33"/>
  <c r="E298" i="33" s="1"/>
  <c r="D297" i="33"/>
  <c r="D7" i="41"/>
  <c r="D8" i="41" s="1"/>
  <c r="D9" i="41" s="1"/>
  <c r="D10" i="41" s="1"/>
  <c r="D11" i="41" s="1"/>
  <c r="D12" i="41" s="1"/>
  <c r="D63" i="33"/>
  <c r="D59" i="33"/>
  <c r="D62" i="33"/>
  <c r="D58" i="33"/>
  <c r="E58" i="33" s="1"/>
  <c r="D64" i="33"/>
  <c r="E64" i="33" s="1"/>
  <c r="D65" i="33"/>
  <c r="D61" i="33"/>
  <c r="D60" i="33"/>
  <c r="L24" i="41"/>
  <c r="K231" i="40"/>
  <c r="M247" i="40"/>
  <c r="M249" i="40"/>
  <c r="I466" i="33" s="1"/>
  <c r="M245" i="40"/>
  <c r="M251" i="40"/>
  <c r="I411" i="33" s="1"/>
  <c r="M243" i="40"/>
  <c r="E17" i="41" l="1"/>
  <c r="F17" i="41"/>
  <c r="E7" i="41"/>
  <c r="G7" i="41" s="1"/>
  <c r="M252" i="40"/>
  <c r="B262" i="40" s="1"/>
  <c r="D18" i="41"/>
  <c r="D19" i="41" s="1"/>
  <c r="D20" i="41" s="1"/>
  <c r="D21" i="41" s="1"/>
  <c r="D22" i="41" s="1"/>
  <c r="D14" i="41"/>
  <c r="D15" i="41" s="1"/>
  <c r="D13" i="41"/>
  <c r="E13" i="41" s="1"/>
  <c r="G13" i="41" s="1"/>
  <c r="C265" i="33"/>
  <c r="C523" i="33"/>
  <c r="C598" i="33"/>
  <c r="C85" i="33"/>
  <c r="C26" i="33"/>
  <c r="G17" i="41" l="1"/>
  <c r="I300" i="33"/>
  <c r="J38" i="27"/>
  <c r="J90" i="27" s="1"/>
  <c r="E33" i="41"/>
  <c r="B261" i="40" s="1"/>
  <c r="O254" i="40"/>
  <c r="C83" i="33"/>
  <c r="C543" i="33"/>
  <c r="P200" i="40"/>
  <c r="P150" i="40"/>
  <c r="P149" i="40"/>
  <c r="P125" i="40"/>
  <c r="W59" i="2" s="1"/>
  <c r="P3" i="40"/>
  <c r="C450" i="33"/>
  <c r="C449" i="33"/>
  <c r="C375" i="33"/>
  <c r="Q4" i="40" l="1"/>
  <c r="X83" i="40"/>
  <c r="F17" i="49"/>
  <c r="P196" i="40"/>
  <c r="P106" i="40" l="1"/>
  <c r="U70" i="2" s="1"/>
  <c r="C348" i="33"/>
  <c r="V236" i="40" l="1"/>
  <c r="W236" i="40" s="1"/>
  <c r="V226" i="40"/>
  <c r="W226" i="40" s="1"/>
  <c r="V222" i="40"/>
  <c r="W222" i="40" s="1"/>
  <c r="V215" i="40"/>
  <c r="W215" i="40" s="1"/>
  <c r="V208" i="40"/>
  <c r="W208" i="40" s="1"/>
  <c r="V205" i="40"/>
  <c r="W205" i="40" s="1"/>
  <c r="V203" i="40"/>
  <c r="W203" i="40" s="1"/>
  <c r="V194" i="40"/>
  <c r="W194" i="40" s="1"/>
  <c r="V189" i="40"/>
  <c r="W189" i="40" s="1"/>
  <c r="V186" i="40"/>
  <c r="W186" i="40" s="1"/>
  <c r="V176" i="40"/>
  <c r="W176" i="40" s="1"/>
  <c r="V170" i="40"/>
  <c r="W170" i="40" s="1"/>
  <c r="V165" i="40"/>
  <c r="W165" i="40" s="1"/>
  <c r="V160" i="40"/>
  <c r="W160" i="40" s="1"/>
  <c r="V158" i="40"/>
  <c r="W158" i="40" s="1"/>
  <c r="V147" i="40"/>
  <c r="W147" i="40" s="1"/>
  <c r="V140" i="40"/>
  <c r="W140" i="40" s="1"/>
  <c r="V132" i="40"/>
  <c r="W132" i="40" s="1"/>
  <c r="V116" i="40"/>
  <c r="W116" i="40" s="1"/>
  <c r="V109" i="40"/>
  <c r="W109" i="40" s="1"/>
  <c r="V96" i="40"/>
  <c r="W96" i="40" s="1"/>
  <c r="V90" i="40"/>
  <c r="W90" i="40" s="1"/>
  <c r="V83" i="40"/>
  <c r="W83" i="40" s="1"/>
  <c r="V79" i="40"/>
  <c r="W79" i="40" s="1"/>
  <c r="V74" i="40"/>
  <c r="W74" i="40" s="1"/>
  <c r="V71" i="40"/>
  <c r="W71" i="40" s="1"/>
  <c r="V59" i="40"/>
  <c r="W59" i="40" s="1"/>
  <c r="V39" i="40"/>
  <c r="W39" i="40" s="1"/>
  <c r="V27" i="40"/>
  <c r="W27" i="40" s="1"/>
  <c r="V21" i="40"/>
  <c r="W21" i="40" s="1"/>
  <c r="W11" i="40"/>
  <c r="V4" i="40"/>
  <c r="W4" i="40" s="1"/>
  <c r="B257" i="40" l="1"/>
  <c r="B258" i="40" l="1"/>
  <c r="P31" i="40"/>
  <c r="H54" i="2" s="1"/>
  <c r="C108" i="33"/>
  <c r="P70" i="40" l="1"/>
  <c r="L81" i="2" s="1"/>
  <c r="C170" i="33"/>
  <c r="S5" i="32" l="1"/>
  <c r="P231" i="40" s="1"/>
  <c r="P26" i="40"/>
  <c r="AC84" i="2" s="1"/>
  <c r="C87" i="33"/>
  <c r="P25" i="40"/>
  <c r="AB47" i="2" s="1"/>
  <c r="C109" i="45" l="1"/>
  <c r="D109" i="45" s="1"/>
  <c r="C86" i="33"/>
  <c r="C88" i="33" s="1"/>
  <c r="X27" i="40" l="1"/>
  <c r="Y27" i="40" s="1"/>
  <c r="E8" i="49"/>
  <c r="F8" i="49" s="1"/>
  <c r="P197" i="40"/>
  <c r="C213" i="39" l="1"/>
  <c r="C214" i="39" s="1"/>
  <c r="E58" i="49"/>
  <c r="I42" i="2"/>
  <c r="P100" i="40"/>
  <c r="U14" i="2" s="1"/>
  <c r="C342" i="33"/>
  <c r="P98" i="40"/>
  <c r="C340" i="33"/>
  <c r="P102" i="40"/>
  <c r="U38" i="2" s="1"/>
  <c r="C344" i="33"/>
  <c r="F58" i="49" l="1"/>
  <c r="P191" i="40"/>
  <c r="C135" i="39"/>
  <c r="E7" i="2" l="1"/>
  <c r="AL7" i="2" s="1"/>
  <c r="K9" i="27" s="1"/>
  <c r="C18" i="45" s="1"/>
  <c r="C143" i="39"/>
  <c r="U9" i="2"/>
  <c r="P76" i="40"/>
  <c r="N30" i="2" s="1"/>
  <c r="C209" i="33"/>
  <c r="P145" i="40" l="1"/>
  <c r="Z55" i="2" s="1"/>
  <c r="C430" i="33"/>
  <c r="P135" i="40" l="1"/>
  <c r="X33" i="2" s="1"/>
  <c r="C399" i="33"/>
  <c r="P155" i="40" l="1"/>
  <c r="AC73" i="2" s="1"/>
  <c r="C456" i="33"/>
  <c r="P86" i="40" l="1"/>
  <c r="C208" i="33" l="1"/>
  <c r="S3" i="32" l="1"/>
  <c r="S2" i="32"/>
  <c r="P73" i="40" l="1"/>
  <c r="P202" i="40"/>
  <c r="P183" i="40"/>
  <c r="C61" i="2" s="1"/>
  <c r="S4" i="32"/>
  <c r="S6" i="32"/>
  <c r="S30" i="32" s="1"/>
  <c r="P235" i="40" s="1"/>
  <c r="P123" i="40"/>
  <c r="W40" i="2" s="1"/>
  <c r="P122" i="40"/>
  <c r="W38" i="2" s="1"/>
  <c r="C372" i="33"/>
  <c r="C371" i="33"/>
  <c r="P75" i="40"/>
  <c r="C317" i="33"/>
  <c r="R44" i="32"/>
  <c r="Q44" i="32"/>
  <c r="K44" i="32"/>
  <c r="J44" i="32"/>
  <c r="I44" i="32"/>
  <c r="H44" i="32"/>
  <c r="G44" i="32"/>
  <c r="F44" i="32"/>
  <c r="R42" i="32"/>
  <c r="Q42" i="32"/>
  <c r="H42" i="32"/>
  <c r="G42" i="32"/>
  <c r="F42" i="32"/>
  <c r="T13" i="32"/>
  <c r="K40" i="32"/>
  <c r="J40" i="32"/>
  <c r="H40" i="32"/>
  <c r="G40" i="32"/>
  <c r="F40" i="32"/>
  <c r="S27" i="32"/>
  <c r="P233" i="40" s="1"/>
  <c r="S26" i="32"/>
  <c r="J38" i="32"/>
  <c r="H38" i="32"/>
  <c r="G38" i="32"/>
  <c r="F38" i="32"/>
  <c r="R30" i="32"/>
  <c r="Q30" i="32"/>
  <c r="K30" i="32"/>
  <c r="J30" i="32"/>
  <c r="I30" i="32"/>
  <c r="H30" i="32"/>
  <c r="G30" i="32"/>
  <c r="F30" i="32"/>
  <c r="R28" i="32"/>
  <c r="Q28" i="32"/>
  <c r="K28" i="32"/>
  <c r="J28" i="32"/>
  <c r="I28" i="32"/>
  <c r="H28" i="32"/>
  <c r="G28" i="32"/>
  <c r="F28" i="32"/>
  <c r="R27" i="32"/>
  <c r="Q27" i="32"/>
  <c r="K27" i="32"/>
  <c r="J27" i="32"/>
  <c r="I27" i="32"/>
  <c r="H27" i="32"/>
  <c r="G27" i="32"/>
  <c r="F27" i="32"/>
  <c r="R26" i="32"/>
  <c r="R31" i="32" s="1"/>
  <c r="Q26" i="32"/>
  <c r="K26" i="32"/>
  <c r="J26" i="32"/>
  <c r="I26" i="32"/>
  <c r="H26" i="32"/>
  <c r="G26" i="32"/>
  <c r="F26" i="32"/>
  <c r="P6" i="40"/>
  <c r="F32" i="2" s="1"/>
  <c r="P12" i="40"/>
  <c r="P175" i="40"/>
  <c r="P142" i="40"/>
  <c r="Z35" i="2" s="1"/>
  <c r="P151" i="40"/>
  <c r="C451" i="33"/>
  <c r="P121" i="40"/>
  <c r="W28" i="2" s="1"/>
  <c r="P112" i="40"/>
  <c r="V30" i="2" s="1"/>
  <c r="P24" i="40"/>
  <c r="AB43" i="2" s="1"/>
  <c r="P10" i="40"/>
  <c r="F87" i="2" s="1"/>
  <c r="P47" i="40"/>
  <c r="I58" i="2" s="1"/>
  <c r="C491" i="33"/>
  <c r="P225" i="40"/>
  <c r="AK67" i="2" s="1"/>
  <c r="P224" i="40"/>
  <c r="AK50" i="2" s="1"/>
  <c r="AL50" i="2" s="1"/>
  <c r="K49" i="27" s="1"/>
  <c r="P223" i="40"/>
  <c r="Q226" i="40" s="1"/>
  <c r="L61" i="27"/>
  <c r="G78" i="49" s="1"/>
  <c r="P182" i="40"/>
  <c r="C398" i="33"/>
  <c r="C501" i="33"/>
  <c r="C175" i="33"/>
  <c r="P249" i="40"/>
  <c r="AD38" i="2" s="1"/>
  <c r="S38" i="32"/>
  <c r="S36" i="32"/>
  <c r="T15" i="32"/>
  <c r="T10" i="32"/>
  <c r="P251" i="40"/>
  <c r="Y38" i="2" s="1"/>
  <c r="Y91" i="2" s="1"/>
  <c r="P247" i="40"/>
  <c r="R38" i="2" s="1"/>
  <c r="P243" i="40"/>
  <c r="L2" i="32"/>
  <c r="L12" i="32"/>
  <c r="L40" i="32" s="1"/>
  <c r="X205" i="40"/>
  <c r="Y205" i="40" s="1"/>
  <c r="L14" i="32"/>
  <c r="O14" i="32" s="1"/>
  <c r="L11" i="32"/>
  <c r="L9" i="32"/>
  <c r="L8" i="32"/>
  <c r="L6" i="32"/>
  <c r="L4" i="32"/>
  <c r="L3" i="32"/>
  <c r="K243" i="40"/>
  <c r="P5" i="40"/>
  <c r="C212" i="33"/>
  <c r="P195" i="40"/>
  <c r="J12" i="2"/>
  <c r="AL12" i="2" s="1"/>
  <c r="K13" i="27" s="1"/>
  <c r="P108" i="40"/>
  <c r="U86" i="2" s="1"/>
  <c r="C350" i="33"/>
  <c r="P63" i="40"/>
  <c r="L31" i="2" s="1"/>
  <c r="C164" i="33"/>
  <c r="P69" i="40"/>
  <c r="L76" i="2" s="1"/>
  <c r="C169" i="33"/>
  <c r="P153" i="40"/>
  <c r="AC59" i="2" s="1"/>
  <c r="C454" i="33"/>
  <c r="P57" i="40"/>
  <c r="I86" i="2" s="1"/>
  <c r="C142" i="33"/>
  <c r="P52" i="40"/>
  <c r="I65" i="2" s="1"/>
  <c r="C137" i="33"/>
  <c r="C136" i="33"/>
  <c r="P54" i="40"/>
  <c r="I70" i="2" s="1"/>
  <c r="P53" i="40"/>
  <c r="I68" i="2" s="1"/>
  <c r="AL68" i="2" s="1"/>
  <c r="K67" i="27" s="1"/>
  <c r="P50" i="40"/>
  <c r="I64" i="2" s="1"/>
  <c r="P49" i="40"/>
  <c r="I62" i="2" s="1"/>
  <c r="P46" i="40"/>
  <c r="I54" i="2" s="1"/>
  <c r="AL54" i="2" s="1"/>
  <c r="K52" i="27" s="1"/>
  <c r="P45" i="40"/>
  <c r="P44" i="40"/>
  <c r="I13" i="2" s="1"/>
  <c r="AL13" i="2" s="1"/>
  <c r="K14" i="27" s="1"/>
  <c r="P43" i="40"/>
  <c r="P42" i="40"/>
  <c r="I11" i="2" s="1"/>
  <c r="P41" i="40"/>
  <c r="I9" i="2" s="1"/>
  <c r="AL9" i="2" s="1"/>
  <c r="C68" i="33" s="1"/>
  <c r="C73" i="33" s="1"/>
  <c r="P40" i="40"/>
  <c r="P38" i="40"/>
  <c r="H87" i="2" s="1"/>
  <c r="P7" i="40"/>
  <c r="Q74" i="2"/>
  <c r="L39" i="27"/>
  <c r="L37" i="27"/>
  <c r="AL89" i="2"/>
  <c r="C623" i="33" s="1"/>
  <c r="C627" i="33" s="1"/>
  <c r="J61" i="2"/>
  <c r="P248" i="40"/>
  <c r="P246" i="40"/>
  <c r="M73" i="27"/>
  <c r="C619" i="33"/>
  <c r="C618" i="33"/>
  <c r="P221" i="40"/>
  <c r="AJ46" i="2" s="1"/>
  <c r="C599" i="33"/>
  <c r="P220" i="40"/>
  <c r="AJ34" i="2" s="1"/>
  <c r="AL34" i="2" s="1"/>
  <c r="P219" i="40"/>
  <c r="AJ29" i="2" s="1"/>
  <c r="C597" i="33"/>
  <c r="P218" i="40"/>
  <c r="AJ18" i="2" s="1"/>
  <c r="C596" i="33"/>
  <c r="P217" i="40"/>
  <c r="AJ17" i="2" s="1"/>
  <c r="C595" i="33"/>
  <c r="P216" i="40"/>
  <c r="P214" i="40"/>
  <c r="AI66" i="2" s="1"/>
  <c r="AI57" i="2"/>
  <c r="P212" i="40"/>
  <c r="AI39" i="2" s="1"/>
  <c r="P211" i="40"/>
  <c r="AI37" i="2" s="1"/>
  <c r="B27" i="41"/>
  <c r="P210" i="40"/>
  <c r="P207" i="40"/>
  <c r="AH22" i="2" s="1"/>
  <c r="P206" i="40"/>
  <c r="P204" i="40"/>
  <c r="Q205" i="40" s="1"/>
  <c r="P201" i="40"/>
  <c r="J69" i="2" s="1"/>
  <c r="C116" i="39"/>
  <c r="P199" i="40"/>
  <c r="J41" i="2" s="1"/>
  <c r="C97" i="39"/>
  <c r="E56" i="49"/>
  <c r="F56" i="49" s="1"/>
  <c r="P192" i="40"/>
  <c r="C136" i="39"/>
  <c r="P190" i="40"/>
  <c r="P188" i="40"/>
  <c r="P187" i="40"/>
  <c r="E45" i="49"/>
  <c r="E47" i="49" s="1"/>
  <c r="P185" i="40"/>
  <c r="C82" i="2" s="1"/>
  <c r="P184" i="40"/>
  <c r="C69" i="2" s="1"/>
  <c r="P181" i="40"/>
  <c r="C41" i="2" s="1"/>
  <c r="C96" i="39"/>
  <c r="P180" i="40"/>
  <c r="C22" i="2" s="1"/>
  <c r="P179" i="40"/>
  <c r="C4" i="2" s="1"/>
  <c r="C24" i="39"/>
  <c r="C25" i="39" s="1"/>
  <c r="P178" i="40"/>
  <c r="E34" i="49"/>
  <c r="P174" i="40"/>
  <c r="AG70" i="2" s="1"/>
  <c r="P173" i="40"/>
  <c r="AG58" i="2" s="1"/>
  <c r="C545" i="33"/>
  <c r="P172" i="40"/>
  <c r="AG48" i="2" s="1"/>
  <c r="P171" i="40"/>
  <c r="P169" i="40"/>
  <c r="AF86" i="2" s="1"/>
  <c r="C525" i="33"/>
  <c r="P168" i="40"/>
  <c r="AF81" i="2" s="1"/>
  <c r="P167" i="40"/>
  <c r="AF62" i="2" s="1"/>
  <c r="P166" i="40"/>
  <c r="P164" i="40"/>
  <c r="P163" i="40"/>
  <c r="AE58" i="2" s="1"/>
  <c r="C503" i="33"/>
  <c r="P162" i="40"/>
  <c r="AE48" i="2" s="1"/>
  <c r="P161" i="40"/>
  <c r="P159" i="40"/>
  <c r="Q160" i="40" s="1"/>
  <c r="E26" i="49"/>
  <c r="F26" i="49" s="1"/>
  <c r="P157" i="40"/>
  <c r="AC86" i="2" s="1"/>
  <c r="C458" i="33"/>
  <c r="P156" i="40"/>
  <c r="AC81" i="2" s="1"/>
  <c r="C457" i="33"/>
  <c r="P154" i="40"/>
  <c r="AC72" i="2" s="1"/>
  <c r="P148" i="40"/>
  <c r="P146" i="40"/>
  <c r="Z80" i="2" s="1"/>
  <c r="C431" i="33"/>
  <c r="P144" i="40"/>
  <c r="Z32" i="2" s="1"/>
  <c r="P141" i="40"/>
  <c r="P139" i="40"/>
  <c r="X76" i="2" s="1"/>
  <c r="C403" i="33"/>
  <c r="P138" i="40"/>
  <c r="X47" i="2" s="1"/>
  <c r="C402" i="33"/>
  <c r="P137" i="40"/>
  <c r="X45" i="2" s="1"/>
  <c r="C401" i="33"/>
  <c r="P136" i="40"/>
  <c r="X38" i="2" s="1"/>
  <c r="C400" i="33"/>
  <c r="X28" i="2"/>
  <c r="P133" i="40"/>
  <c r="P131" i="40"/>
  <c r="P129" i="40"/>
  <c r="W81" i="2" s="1"/>
  <c r="C377" i="33"/>
  <c r="P128" i="40"/>
  <c r="W76" i="2" s="1"/>
  <c r="C376" i="33"/>
  <c r="P124" i="40"/>
  <c r="W43" i="2" s="1"/>
  <c r="P119" i="40"/>
  <c r="P115" i="40"/>
  <c r="V84" i="2" s="1"/>
  <c r="C321" i="33"/>
  <c r="P114" i="40"/>
  <c r="P113" i="40"/>
  <c r="V47" i="2" s="1"/>
  <c r="P111" i="40"/>
  <c r="V25" i="2" s="1"/>
  <c r="P110" i="40"/>
  <c r="P107" i="40"/>
  <c r="U76" i="2" s="1"/>
  <c r="C349" i="33"/>
  <c r="P105" i="40"/>
  <c r="U62" i="2" s="1"/>
  <c r="P103" i="40"/>
  <c r="U40" i="2" s="1"/>
  <c r="P101" i="40"/>
  <c r="U19" i="2" s="1"/>
  <c r="AL19" i="2" s="1"/>
  <c r="K20" i="27" s="1"/>
  <c r="P97" i="40"/>
  <c r="P95" i="40"/>
  <c r="S83" i="2" s="1"/>
  <c r="AL83" i="2" s="1"/>
  <c r="P94" i="40"/>
  <c r="S66" i="2" s="1"/>
  <c r="P93" i="40"/>
  <c r="S57" i="2" s="1"/>
  <c r="P92" i="40"/>
  <c r="S37" i="2" s="1"/>
  <c r="P91" i="40"/>
  <c r="P89" i="40"/>
  <c r="P88" i="40"/>
  <c r="P74" i="2" s="1"/>
  <c r="C254" i="33"/>
  <c r="P29" i="2"/>
  <c r="C252" i="33"/>
  <c r="P85" i="40"/>
  <c r="C251" i="33"/>
  <c r="P78" i="40"/>
  <c r="N49" i="2" s="1"/>
  <c r="E16" i="49"/>
  <c r="F16" i="49" s="1"/>
  <c r="N15" i="2"/>
  <c r="P72" i="40"/>
  <c r="Q74" i="40" s="1"/>
  <c r="P68" i="40"/>
  <c r="L62" i="2" s="1"/>
  <c r="P67" i="40"/>
  <c r="L59" i="2" s="1"/>
  <c r="C168" i="33"/>
  <c r="P66" i="40"/>
  <c r="L51" i="2" s="1"/>
  <c r="AL51" i="2" s="1"/>
  <c r="C413" i="33" s="1"/>
  <c r="C418" i="33" s="1"/>
  <c r="P65" i="40"/>
  <c r="L47" i="2" s="1"/>
  <c r="P64" i="40"/>
  <c r="L45" i="2" s="1"/>
  <c r="C165" i="33"/>
  <c r="P62" i="40"/>
  <c r="L40" i="2" s="1"/>
  <c r="P61" i="40"/>
  <c r="L25" i="2" s="1"/>
  <c r="C161" i="33"/>
  <c r="P60" i="40"/>
  <c r="P58" i="40"/>
  <c r="I87" i="2" s="1"/>
  <c r="C143" i="33"/>
  <c r="P56" i="40"/>
  <c r="I81" i="2" s="1"/>
  <c r="C141" i="33"/>
  <c r="P55" i="40"/>
  <c r="I73" i="2" s="1"/>
  <c r="AL73" i="2" s="1"/>
  <c r="K72" i="27" s="1"/>
  <c r="C140" i="33"/>
  <c r="C138" i="33"/>
  <c r="C135" i="33"/>
  <c r="C134" i="33"/>
  <c r="I16" i="2"/>
  <c r="C133" i="33"/>
  <c r="P36" i="40"/>
  <c r="H75" i="2" s="1"/>
  <c r="P34" i="40"/>
  <c r="H70" i="2" s="1"/>
  <c r="C109" i="33"/>
  <c r="P29" i="40"/>
  <c r="P22" i="40"/>
  <c r="Q27" i="40" s="1"/>
  <c r="P20" i="40"/>
  <c r="G64" i="2" s="1"/>
  <c r="P19" i="40"/>
  <c r="G60" i="2" s="1"/>
  <c r="AL60" i="2" s="1"/>
  <c r="K58" i="27" s="1"/>
  <c r="P17" i="40"/>
  <c r="P16" i="40"/>
  <c r="G32" i="2" s="1"/>
  <c r="P15" i="40"/>
  <c r="G31" i="2" s="1"/>
  <c r="P14" i="40"/>
  <c r="G27" i="2" s="1"/>
  <c r="AL27" i="2" s="1"/>
  <c r="K27" i="27" s="1"/>
  <c r="P13" i="40"/>
  <c r="G23" i="2" s="1"/>
  <c r="AL23" i="2" s="1"/>
  <c r="K23" i="27" s="1"/>
  <c r="P9" i="40"/>
  <c r="C27" i="33"/>
  <c r="P8" i="40"/>
  <c r="F55" i="2" s="1"/>
  <c r="AL55" i="2" s="1"/>
  <c r="K53" i="27" s="1"/>
  <c r="C139" i="33"/>
  <c r="C45" i="33"/>
  <c r="C522" i="33"/>
  <c r="C25" i="33"/>
  <c r="C14" i="33"/>
  <c r="E22" i="41"/>
  <c r="G22" i="41" s="1"/>
  <c r="E28" i="41"/>
  <c r="G28" i="41" s="1"/>
  <c r="AI6" i="2"/>
  <c r="F49" i="2"/>
  <c r="J35" i="2"/>
  <c r="B20" i="2"/>
  <c r="G88" i="27"/>
  <c r="G87" i="27"/>
  <c r="G86" i="27"/>
  <c r="G85" i="27"/>
  <c r="G84" i="27"/>
  <c r="G83" i="27"/>
  <c r="G82" i="27"/>
  <c r="G81" i="27"/>
  <c r="G80" i="27"/>
  <c r="G79" i="27"/>
  <c r="G76" i="27"/>
  <c r="G75" i="27"/>
  <c r="G74" i="27"/>
  <c r="G73" i="27"/>
  <c r="G72" i="27"/>
  <c r="G71" i="27"/>
  <c r="G69" i="27"/>
  <c r="G68" i="27"/>
  <c r="G67" i="27"/>
  <c r="G66" i="27"/>
  <c r="G65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8" i="27"/>
  <c r="G7" i="27"/>
  <c r="G6" i="27"/>
  <c r="G5" i="27"/>
  <c r="G4" i="27"/>
  <c r="G3" i="27"/>
  <c r="G2" i="27"/>
  <c r="AL52" i="2"/>
  <c r="AL14" i="2"/>
  <c r="AL42" i="2"/>
  <c r="K41" i="27" s="1"/>
  <c r="K88" i="27"/>
  <c r="AL85" i="2"/>
  <c r="AL21" i="2"/>
  <c r="AL78" i="2"/>
  <c r="K77" i="27" s="1"/>
  <c r="C86" i="45" s="1"/>
  <c r="Q90" i="40" l="1"/>
  <c r="H146" i="39"/>
  <c r="Q194" i="40"/>
  <c r="K15" i="27"/>
  <c r="I147" i="33" s="1"/>
  <c r="C24" i="45"/>
  <c r="I467" i="33"/>
  <c r="B108" i="45"/>
  <c r="D108" i="45" s="1"/>
  <c r="AL20" i="2"/>
  <c r="K21" i="27" s="1"/>
  <c r="B91" i="2"/>
  <c r="L42" i="32"/>
  <c r="K251" i="40" s="1"/>
  <c r="L44" i="32"/>
  <c r="L27" i="32"/>
  <c r="L28" i="32"/>
  <c r="L30" i="32"/>
  <c r="R91" i="2"/>
  <c r="Q71" i="40"/>
  <c r="Q116" i="40"/>
  <c r="Q147" i="40"/>
  <c r="Q208" i="40"/>
  <c r="Q222" i="40"/>
  <c r="H16" i="2"/>
  <c r="Q39" i="40"/>
  <c r="AF59" i="2"/>
  <c r="AL59" i="2" s="1"/>
  <c r="K57" i="27" s="1"/>
  <c r="Q170" i="40"/>
  <c r="Q11" i="40"/>
  <c r="P228" i="40"/>
  <c r="Q21" i="40"/>
  <c r="J44" i="2"/>
  <c r="AL44" i="2" s="1"/>
  <c r="C164" i="39" s="1"/>
  <c r="C168" i="39" s="1"/>
  <c r="Q203" i="40"/>
  <c r="Q109" i="40"/>
  <c r="AI36" i="2"/>
  <c r="AI91" i="2" s="1"/>
  <c r="Q215" i="40"/>
  <c r="Q158" i="40"/>
  <c r="Q165" i="40"/>
  <c r="Q186" i="40"/>
  <c r="Q96" i="40"/>
  <c r="D24" i="2"/>
  <c r="AL24" i="2" s="1"/>
  <c r="K24" i="27" s="1"/>
  <c r="H234" i="39" s="1"/>
  <c r="Q189" i="40"/>
  <c r="Q79" i="40"/>
  <c r="Q132" i="40"/>
  <c r="Q140" i="40"/>
  <c r="Q176" i="40"/>
  <c r="Q59" i="40"/>
  <c r="M28" i="27"/>
  <c r="P252" i="40"/>
  <c r="AL84" i="2"/>
  <c r="K84" i="27" s="1"/>
  <c r="W86" i="2"/>
  <c r="AL86" i="2" s="1"/>
  <c r="K85" i="27" s="1"/>
  <c r="E6" i="2"/>
  <c r="AL6" i="2" s="1"/>
  <c r="K8" i="27" s="1"/>
  <c r="K77" i="2"/>
  <c r="AL77" i="2" s="1"/>
  <c r="K76" i="27" s="1"/>
  <c r="C85" i="45" s="1"/>
  <c r="D85" i="45" s="1"/>
  <c r="P18" i="2"/>
  <c r="G5" i="2"/>
  <c r="AL5" i="2" s="1"/>
  <c r="K6" i="27" s="1"/>
  <c r="AH15" i="2"/>
  <c r="AL15" i="2" s="1"/>
  <c r="AL48" i="2"/>
  <c r="K47" i="27" s="1"/>
  <c r="AE11" i="2"/>
  <c r="AG11" i="2"/>
  <c r="C234" i="39"/>
  <c r="C238" i="39" s="1"/>
  <c r="AK16" i="2"/>
  <c r="M10" i="2"/>
  <c r="F35" i="2"/>
  <c r="AL35" i="2" s="1"/>
  <c r="I56" i="2"/>
  <c r="AL56" i="2" s="1"/>
  <c r="K55" i="27" s="1"/>
  <c r="N55" i="27" s="1"/>
  <c r="E27" i="41"/>
  <c r="G27" i="41" s="1"/>
  <c r="B24" i="41"/>
  <c r="AL31" i="2"/>
  <c r="K82" i="27" s="1"/>
  <c r="C41" i="45" s="1"/>
  <c r="D41" i="45" s="1"/>
  <c r="E297" i="33"/>
  <c r="C166" i="33"/>
  <c r="E18" i="41"/>
  <c r="G18" i="41" s="1"/>
  <c r="B104" i="45"/>
  <c r="D104" i="45" s="1"/>
  <c r="G76" i="49"/>
  <c r="C42" i="39"/>
  <c r="C43" i="39" s="1"/>
  <c r="E36" i="49"/>
  <c r="F36" i="49" s="1"/>
  <c r="C78" i="39"/>
  <c r="C79" i="39" s="1"/>
  <c r="E41" i="49"/>
  <c r="F41" i="49" s="1"/>
  <c r="C115" i="39"/>
  <c r="E40" i="49"/>
  <c r="F40" i="49" s="1"/>
  <c r="C60" i="39"/>
  <c r="C61" i="39" s="1"/>
  <c r="E39" i="49"/>
  <c r="F39" i="49" s="1"/>
  <c r="F34" i="49"/>
  <c r="F45" i="49"/>
  <c r="F47" i="49" s="1"/>
  <c r="C318" i="33"/>
  <c r="X116" i="40"/>
  <c r="Y116" i="40" s="1"/>
  <c r="E21" i="49"/>
  <c r="F21" i="49" s="1"/>
  <c r="C196" i="39"/>
  <c r="C197" i="39" s="1"/>
  <c r="E59" i="49"/>
  <c r="F59" i="49" s="1"/>
  <c r="C178" i="39"/>
  <c r="C179" i="39" s="1"/>
  <c r="E57" i="49"/>
  <c r="B105" i="45"/>
  <c r="D105" i="45" s="1"/>
  <c r="G75" i="49"/>
  <c r="C31" i="45"/>
  <c r="I623" i="33"/>
  <c r="L26" i="32"/>
  <c r="L7" i="32"/>
  <c r="L31" i="32" s="1"/>
  <c r="N52" i="27"/>
  <c r="R67" i="48" s="1"/>
  <c r="C63" i="45"/>
  <c r="D63" i="45" s="1"/>
  <c r="N49" i="27"/>
  <c r="R64" i="48" s="1"/>
  <c r="C60" i="45"/>
  <c r="D60" i="45" s="1"/>
  <c r="C64" i="45"/>
  <c r="I435" i="33"/>
  <c r="N23" i="27"/>
  <c r="R37" i="48" s="1"/>
  <c r="C33" i="45"/>
  <c r="D33" i="45" s="1"/>
  <c r="C142" i="39"/>
  <c r="AJ74" i="2"/>
  <c r="AJ91" i="2" s="1"/>
  <c r="N10" i="2"/>
  <c r="N91" i="2" s="1"/>
  <c r="S36" i="2"/>
  <c r="S91" i="2" s="1"/>
  <c r="C52" i="45"/>
  <c r="I354" i="33"/>
  <c r="AB30" i="2"/>
  <c r="AB91" i="2" s="1"/>
  <c r="L38" i="2"/>
  <c r="L91" i="2" s="1"/>
  <c r="P17" i="2"/>
  <c r="X25" i="2"/>
  <c r="AC38" i="2"/>
  <c r="AC91" i="2" s="1"/>
  <c r="N14" i="27"/>
  <c r="R25" i="48" s="1"/>
  <c r="C23" i="45"/>
  <c r="D23" i="45" s="1"/>
  <c r="N72" i="27"/>
  <c r="R85" i="48" s="1"/>
  <c r="C81" i="45"/>
  <c r="D81" i="45" s="1"/>
  <c r="C2" i="2"/>
  <c r="AL2" i="2" s="1"/>
  <c r="K2" i="27" s="1"/>
  <c r="N21" i="27"/>
  <c r="R32" i="48" s="1"/>
  <c r="C30" i="45"/>
  <c r="D30" i="45" s="1"/>
  <c r="N27" i="27"/>
  <c r="R41" i="48" s="1"/>
  <c r="C37" i="45"/>
  <c r="D37" i="45" s="1"/>
  <c r="N58" i="27"/>
  <c r="R72" i="48" s="1"/>
  <c r="C68" i="45"/>
  <c r="D68" i="45" s="1"/>
  <c r="N20" i="27"/>
  <c r="R31" i="48" s="1"/>
  <c r="C29" i="45"/>
  <c r="D29" i="45" s="1"/>
  <c r="W25" i="2"/>
  <c r="E63" i="2"/>
  <c r="C144" i="39"/>
  <c r="N67" i="27"/>
  <c r="R81" i="48" s="1"/>
  <c r="C77" i="45"/>
  <c r="D77" i="45" s="1"/>
  <c r="E7" i="49"/>
  <c r="F7" i="49" s="1"/>
  <c r="B8" i="41"/>
  <c r="C48" i="33"/>
  <c r="B10" i="41"/>
  <c r="C52" i="33"/>
  <c r="B15" i="41"/>
  <c r="C339" i="33"/>
  <c r="E20" i="49"/>
  <c r="F20" i="49" s="1"/>
  <c r="C544" i="33"/>
  <c r="E29" i="49"/>
  <c r="F29" i="49" s="1"/>
  <c r="C564" i="33"/>
  <c r="E29" i="41"/>
  <c r="G29" i="41" s="1"/>
  <c r="C319" i="33"/>
  <c r="C162" i="33"/>
  <c r="C250" i="33"/>
  <c r="C288" i="33"/>
  <c r="B21" i="41"/>
  <c r="C502" i="33"/>
  <c r="E27" i="49"/>
  <c r="F27" i="49" s="1"/>
  <c r="C6" i="39"/>
  <c r="C7" i="39" s="1"/>
  <c r="X186" i="40"/>
  <c r="Y186" i="40" s="1"/>
  <c r="C49" i="33"/>
  <c r="B11" i="41"/>
  <c r="E11" i="41" s="1"/>
  <c r="G11" i="41" s="1"/>
  <c r="C132" i="33"/>
  <c r="C144" i="33" s="1"/>
  <c r="C369" i="33"/>
  <c r="E22" i="49"/>
  <c r="F22" i="49" s="1"/>
  <c r="C134" i="39"/>
  <c r="C138" i="39" s="1"/>
  <c r="X194" i="40"/>
  <c r="Y194" i="40" s="1"/>
  <c r="X203" i="40"/>
  <c r="Y203" i="40" s="1"/>
  <c r="X208" i="40"/>
  <c r="Y208" i="40" s="1"/>
  <c r="C566" i="33"/>
  <c r="C594" i="33"/>
  <c r="C600" i="33" s="1"/>
  <c r="C617" i="33"/>
  <c r="C620" i="33" s="1"/>
  <c r="C24" i="33"/>
  <c r="C28" i="33" s="1"/>
  <c r="C6" i="33"/>
  <c r="C47" i="33"/>
  <c r="B9" i="41"/>
  <c r="C285" i="33"/>
  <c r="B19" i="41"/>
  <c r="E25" i="49"/>
  <c r="F25" i="49" s="1"/>
  <c r="C230" i="39"/>
  <c r="C231" i="39" s="1"/>
  <c r="X189" i="40"/>
  <c r="Y189" i="40" s="1"/>
  <c r="AE75" i="2"/>
  <c r="AL75" i="2" s="1"/>
  <c r="K74" i="27" s="1"/>
  <c r="C483" i="33"/>
  <c r="C484" i="33" s="1"/>
  <c r="X160" i="40"/>
  <c r="Y160" i="40" s="1"/>
  <c r="E23" i="49"/>
  <c r="F23" i="49" s="1"/>
  <c r="C345" i="33"/>
  <c r="C211" i="33"/>
  <c r="X79" i="40"/>
  <c r="Y79" i="40" s="1"/>
  <c r="O91" i="2"/>
  <c r="F80" i="2"/>
  <c r="AL80" i="2" s="1"/>
  <c r="K79" i="27" s="1"/>
  <c r="C51" i="33"/>
  <c r="B14" i="41"/>
  <c r="G46" i="2"/>
  <c r="C50" i="33"/>
  <c r="B12" i="41"/>
  <c r="C286" i="33"/>
  <c r="B20" i="41"/>
  <c r="E574" i="33"/>
  <c r="Q31" i="32"/>
  <c r="L15" i="32"/>
  <c r="P232" i="40"/>
  <c r="P15" i="32"/>
  <c r="K249" i="40"/>
  <c r="E78" i="49" s="1"/>
  <c r="J82" i="2"/>
  <c r="AL82" i="2" s="1"/>
  <c r="D33" i="2"/>
  <c r="AG71" i="2"/>
  <c r="M43" i="2"/>
  <c r="AL61" i="2"/>
  <c r="C64" i="39" s="1"/>
  <c r="C68" i="39" s="1"/>
  <c r="C343" i="33"/>
  <c r="C565" i="33"/>
  <c r="C373" i="33"/>
  <c r="C167" i="33"/>
  <c r="C347" i="33"/>
  <c r="C428" i="33"/>
  <c r="AL47" i="2"/>
  <c r="C383" i="33" s="1"/>
  <c r="C387" i="33" s="1"/>
  <c r="C504" i="33"/>
  <c r="C546" i="33"/>
  <c r="E299" i="33"/>
  <c r="T7" i="32"/>
  <c r="T17" i="32" s="1"/>
  <c r="S28" i="32"/>
  <c r="S31" i="32" s="1"/>
  <c r="AL87" i="2"/>
  <c r="K86" i="27" s="1"/>
  <c r="AL49" i="2"/>
  <c r="K48" i="27" s="1"/>
  <c r="C320" i="33"/>
  <c r="AA53" i="2"/>
  <c r="C98" i="39"/>
  <c r="AL57" i="2"/>
  <c r="K54" i="27" s="1"/>
  <c r="C147" i="33"/>
  <c r="C151" i="33" s="1"/>
  <c r="C190" i="33"/>
  <c r="C191" i="33" s="1"/>
  <c r="K11" i="27"/>
  <c r="AL62" i="2"/>
  <c r="C468" i="33" s="1"/>
  <c r="C473" i="33" s="1"/>
  <c r="AL41" i="2"/>
  <c r="C101" i="39" s="1"/>
  <c r="C105" i="39" s="1"/>
  <c r="L50" i="27"/>
  <c r="C354" i="33"/>
  <c r="C358" i="33" s="1"/>
  <c r="Y245" i="40"/>
  <c r="AL32" i="2"/>
  <c r="AL64" i="2"/>
  <c r="K63" i="27" s="1"/>
  <c r="AL37" i="2"/>
  <c r="K36" i="27" s="1"/>
  <c r="AL69" i="2"/>
  <c r="C120" i="39" s="1"/>
  <c r="C124" i="39" s="1"/>
  <c r="AD91" i="2"/>
  <c r="AL22" i="2"/>
  <c r="K22" i="27" s="1"/>
  <c r="Y83" i="40"/>
  <c r="C210" i="33"/>
  <c r="C112" i="33"/>
  <c r="C182" i="39"/>
  <c r="C186" i="39" s="1"/>
  <c r="Z8" i="2"/>
  <c r="AL8" i="2" s="1"/>
  <c r="AL39" i="2"/>
  <c r="C567" i="33"/>
  <c r="T38" i="2"/>
  <c r="T91" i="2" s="1"/>
  <c r="S42" i="32"/>
  <c r="C410" i="33"/>
  <c r="C411" i="33" s="1"/>
  <c r="C417" i="33" s="1"/>
  <c r="Q45" i="32"/>
  <c r="C465" i="33"/>
  <c r="C466" i="33" s="1"/>
  <c r="C472" i="33" s="1"/>
  <c r="L10" i="32"/>
  <c r="L38" i="32"/>
  <c r="K245" i="40" s="1"/>
  <c r="V76" i="2"/>
  <c r="AL76" i="2" s="1"/>
  <c r="K75" i="27" s="1"/>
  <c r="AL45" i="2"/>
  <c r="K44" i="27" s="1"/>
  <c r="C397" i="33"/>
  <c r="C404" i="33" s="1"/>
  <c r="AL40" i="2"/>
  <c r="K39" i="27" s="1"/>
  <c r="AL70" i="2"/>
  <c r="K69" i="27" s="1"/>
  <c r="C46" i="33"/>
  <c r="C579" i="33"/>
  <c r="C584" i="33" s="1"/>
  <c r="K83" i="27"/>
  <c r="C289" i="33"/>
  <c r="AL66" i="2"/>
  <c r="K65" i="27" s="1"/>
  <c r="C524" i="33"/>
  <c r="C526" i="33" s="1"/>
  <c r="C255" i="33"/>
  <c r="AL81" i="2"/>
  <c r="K80" i="27" s="1"/>
  <c r="AL72" i="2"/>
  <c r="C455" i="33"/>
  <c r="C453" i="33"/>
  <c r="C287" i="33"/>
  <c r="K50" i="27"/>
  <c r="C163" i="33"/>
  <c r="C435" i="33"/>
  <c r="C439" i="33" s="1"/>
  <c r="AL67" i="2"/>
  <c r="K66" i="27" s="1"/>
  <c r="C76" i="45" s="1"/>
  <c r="D76" i="45" s="1"/>
  <c r="P88" i="2"/>
  <c r="V10" i="2"/>
  <c r="M87" i="27"/>
  <c r="Q88" i="2"/>
  <c r="M19" i="27"/>
  <c r="Q18" i="2"/>
  <c r="AL28" i="2"/>
  <c r="K33" i="27"/>
  <c r="C270" i="33"/>
  <c r="C275" i="33" s="1"/>
  <c r="R45" i="32"/>
  <c r="L13" i="32"/>
  <c r="K247" i="40"/>
  <c r="E76" i="49" s="1"/>
  <c r="F76" i="49" s="1"/>
  <c r="K43" i="27"/>
  <c r="C160" i="39"/>
  <c r="C161" i="39" s="1"/>
  <c r="AL4" i="2"/>
  <c r="C113" i="33"/>
  <c r="H58" i="2"/>
  <c r="AL58" i="2" s="1"/>
  <c r="K56" i="27" s="1"/>
  <c r="AL65" i="2"/>
  <c r="K64" i="27" s="1"/>
  <c r="U3" i="2"/>
  <c r="C230" i="33"/>
  <c r="AF91" i="2" l="1"/>
  <c r="C146" i="39"/>
  <c r="C432" i="33"/>
  <c r="F78" i="49"/>
  <c r="H78" i="49" s="1"/>
  <c r="C547" i="33"/>
  <c r="C117" i="39"/>
  <c r="C380" i="33"/>
  <c r="C351" i="33"/>
  <c r="C115" i="33"/>
  <c r="K232" i="40"/>
  <c r="K234" i="40"/>
  <c r="C264" i="33" s="1"/>
  <c r="K233" i="40"/>
  <c r="C263" i="33" s="1"/>
  <c r="K235" i="40"/>
  <c r="C266" i="33" s="1"/>
  <c r="M37" i="27"/>
  <c r="AL38" i="2"/>
  <c r="K37" i="27" s="1"/>
  <c r="AD38" i="27" s="1"/>
  <c r="C34" i="45"/>
  <c r="AL16" i="2"/>
  <c r="K17" i="27" s="1"/>
  <c r="D91" i="2"/>
  <c r="Q228" i="40"/>
  <c r="W91" i="2"/>
  <c r="AL36" i="2"/>
  <c r="K35" i="27" s="1"/>
  <c r="N35" i="27" s="1"/>
  <c r="R50" i="48" s="1"/>
  <c r="I91" i="2"/>
  <c r="AK91" i="2"/>
  <c r="AL11" i="2"/>
  <c r="G91" i="2"/>
  <c r="C91" i="2"/>
  <c r="AL18" i="2"/>
  <c r="K19" i="27" s="1"/>
  <c r="C28" i="45" s="1"/>
  <c r="D28" i="45" s="1"/>
  <c r="AE91" i="2"/>
  <c r="M91" i="2"/>
  <c r="AG91" i="2"/>
  <c r="AL74" i="2"/>
  <c r="K73" i="27" s="1"/>
  <c r="C82" i="45" s="1"/>
  <c r="D82" i="45" s="1"/>
  <c r="AH91" i="2"/>
  <c r="E75" i="49"/>
  <c r="F75" i="49" s="1"/>
  <c r="H75" i="49" s="1"/>
  <c r="K252" i="40"/>
  <c r="AL33" i="2"/>
  <c r="K32" i="27" s="1"/>
  <c r="AL43" i="2"/>
  <c r="K42" i="27" s="1"/>
  <c r="C53" i="45" s="1"/>
  <c r="K91" i="2"/>
  <c r="E91" i="2"/>
  <c r="C10" i="39"/>
  <c r="C14" i="39" s="1"/>
  <c r="AL46" i="2"/>
  <c r="K45" i="27" s="1"/>
  <c r="N45" i="27" s="1"/>
  <c r="R60" i="48" s="1"/>
  <c r="N82" i="27"/>
  <c r="R45" i="48" s="1"/>
  <c r="F42" i="49"/>
  <c r="B17" i="41"/>
  <c r="B6" i="41"/>
  <c r="AL30" i="2"/>
  <c r="K30" i="27" s="1"/>
  <c r="X21" i="40"/>
  <c r="Y21" i="40" s="1"/>
  <c r="P91" i="2"/>
  <c r="AL63" i="2"/>
  <c r="K62" i="27" s="1"/>
  <c r="C72" i="45" s="1"/>
  <c r="X39" i="40"/>
  <c r="Y39" i="40" s="1"/>
  <c r="F91" i="2"/>
  <c r="X215" i="40"/>
  <c r="Y215" i="40" s="1"/>
  <c r="X132" i="40"/>
  <c r="Y132" i="40" s="1"/>
  <c r="X170" i="40"/>
  <c r="Y170" i="40" s="1"/>
  <c r="E28" i="49"/>
  <c r="F28" i="49" s="1"/>
  <c r="X11" i="40"/>
  <c r="Y11" i="40" s="1"/>
  <c r="E6" i="49"/>
  <c r="F6" i="49" s="1"/>
  <c r="X109" i="40"/>
  <c r="Y109" i="40" s="1"/>
  <c r="X140" i="40"/>
  <c r="Y140" i="40" s="1"/>
  <c r="X71" i="40"/>
  <c r="Y71" i="40" s="1"/>
  <c r="E14" i="49"/>
  <c r="F14" i="49" s="1"/>
  <c r="X158" i="40"/>
  <c r="Y158" i="40" s="1"/>
  <c r="X96" i="40"/>
  <c r="Y96" i="40" s="1"/>
  <c r="E19" i="49"/>
  <c r="F19" i="49" s="1"/>
  <c r="X165" i="40"/>
  <c r="Y165" i="40" s="1"/>
  <c r="C505" i="33"/>
  <c r="C256" i="33"/>
  <c r="X226" i="40"/>
  <c r="Y226" i="40" s="1"/>
  <c r="X59" i="40"/>
  <c r="Y59" i="40" s="1"/>
  <c r="E13" i="49"/>
  <c r="F13" i="49" s="1"/>
  <c r="Y4" i="40"/>
  <c r="E5" i="49"/>
  <c r="F5" i="49" s="1"/>
  <c r="H76" i="49"/>
  <c r="X176" i="40"/>
  <c r="Y176" i="40" s="1"/>
  <c r="X74" i="40"/>
  <c r="Y74" i="40" s="1"/>
  <c r="E15" i="49"/>
  <c r="F15" i="49" s="1"/>
  <c r="K60" i="27"/>
  <c r="H64" i="39" s="1"/>
  <c r="E42" i="49"/>
  <c r="X90" i="40"/>
  <c r="Y90" i="40" s="1"/>
  <c r="E18" i="49"/>
  <c r="F18" i="49" s="1"/>
  <c r="X222" i="40"/>
  <c r="Y222" i="40" s="1"/>
  <c r="F57" i="49"/>
  <c r="F64" i="49" s="1"/>
  <c r="E64" i="49"/>
  <c r="S45" i="32"/>
  <c r="M18" i="27"/>
  <c r="C100" i="45"/>
  <c r="D100" i="45" s="1"/>
  <c r="AL25" i="2"/>
  <c r="K25" i="27" s="1"/>
  <c r="X91" i="2"/>
  <c r="AL10" i="2"/>
  <c r="K10" i="27" s="1"/>
  <c r="Q17" i="2"/>
  <c r="AL17" i="2" s="1"/>
  <c r="K18" i="27" s="1"/>
  <c r="C27" i="45" s="1"/>
  <c r="D27" i="45" s="1"/>
  <c r="C322" i="33"/>
  <c r="B107" i="45"/>
  <c r="D107" i="45" s="1"/>
  <c r="I412" i="33"/>
  <c r="C262" i="33"/>
  <c r="C83" i="45"/>
  <c r="I550" i="33"/>
  <c r="H182" i="39"/>
  <c r="C22" i="45"/>
  <c r="N54" i="27"/>
  <c r="R69" i="48" s="1"/>
  <c r="C65" i="45"/>
  <c r="D65" i="45" s="1"/>
  <c r="N56" i="27"/>
  <c r="R70" i="48" s="1"/>
  <c r="C66" i="45"/>
  <c r="D66" i="45" s="1"/>
  <c r="C61" i="45"/>
  <c r="I413" i="33"/>
  <c r="K31" i="27"/>
  <c r="C217" i="39"/>
  <c r="C221" i="39" s="1"/>
  <c r="N48" i="27"/>
  <c r="R63" i="48" s="1"/>
  <c r="C59" i="45"/>
  <c r="D59" i="45" s="1"/>
  <c r="N17" i="27"/>
  <c r="R28" i="48" s="1"/>
  <c r="C26" i="45"/>
  <c r="D26" i="45" s="1"/>
  <c r="C44" i="45"/>
  <c r="I270" i="33"/>
  <c r="N65" i="27"/>
  <c r="R79" i="48" s="1"/>
  <c r="C75" i="45"/>
  <c r="D75" i="45" s="1"/>
  <c r="N44" i="27"/>
  <c r="R59" i="48" s="1"/>
  <c r="C55" i="45"/>
  <c r="D55" i="45" s="1"/>
  <c r="H46" i="39"/>
  <c r="C32" i="45"/>
  <c r="N36" i="27"/>
  <c r="R51" i="48" s="1"/>
  <c r="C47" i="45"/>
  <c r="D47" i="45" s="1"/>
  <c r="N86" i="27"/>
  <c r="R100" i="48" s="1"/>
  <c r="C94" i="45"/>
  <c r="D94" i="45" s="1"/>
  <c r="N79" i="27"/>
  <c r="R93" i="48" s="1"/>
  <c r="C88" i="45"/>
  <c r="D88" i="45" s="1"/>
  <c r="N39" i="27"/>
  <c r="R54" i="48" s="1"/>
  <c r="C50" i="45"/>
  <c r="D50" i="45" s="1"/>
  <c r="C54" i="45"/>
  <c r="H164" i="39"/>
  <c r="N80" i="27"/>
  <c r="R94" i="48" s="1"/>
  <c r="C89" i="45"/>
  <c r="D89" i="45" s="1"/>
  <c r="N85" i="27"/>
  <c r="R99" i="48" s="1"/>
  <c r="C93" i="45"/>
  <c r="D93" i="45" s="1"/>
  <c r="N6" i="27"/>
  <c r="R16" i="48" s="1"/>
  <c r="C15" i="45"/>
  <c r="D15" i="45" s="1"/>
  <c r="J91" i="2"/>
  <c r="C79" i="45"/>
  <c r="I508" i="33"/>
  <c r="N57" i="27"/>
  <c r="R71" i="48" s="1"/>
  <c r="C67" i="45"/>
  <c r="D67" i="45" s="1"/>
  <c r="N63" i="27"/>
  <c r="R77" i="48" s="1"/>
  <c r="C73" i="45"/>
  <c r="D73" i="45" s="1"/>
  <c r="C19" i="45"/>
  <c r="I68" i="33"/>
  <c r="N84" i="27"/>
  <c r="R97" i="48" s="1"/>
  <c r="C92" i="45"/>
  <c r="D92" i="45" s="1"/>
  <c r="C17" i="45"/>
  <c r="N64" i="27"/>
  <c r="R78" i="48" s="1"/>
  <c r="C74" i="45"/>
  <c r="D74" i="45" s="1"/>
  <c r="N47" i="27"/>
  <c r="R62" i="48" s="1"/>
  <c r="C58" i="45"/>
  <c r="D58" i="45" s="1"/>
  <c r="N66" i="27"/>
  <c r="R80" i="48" s="1"/>
  <c r="C91" i="45"/>
  <c r="I579" i="33"/>
  <c r="N75" i="27"/>
  <c r="R88" i="48" s="1"/>
  <c r="C84" i="45"/>
  <c r="D84" i="45" s="1"/>
  <c r="H10" i="39"/>
  <c r="C11" i="45"/>
  <c r="C150" i="39"/>
  <c r="C7" i="33"/>
  <c r="E26" i="41"/>
  <c r="G26" i="41" s="1"/>
  <c r="E10" i="41"/>
  <c r="G10" i="41" s="1"/>
  <c r="E19" i="41"/>
  <c r="G19" i="41" s="1"/>
  <c r="E65" i="33"/>
  <c r="E9" i="41"/>
  <c r="G9" i="41" s="1"/>
  <c r="E21" i="41"/>
  <c r="G21" i="41" s="1"/>
  <c r="E59" i="33"/>
  <c r="E15" i="41"/>
  <c r="G15" i="41" s="1"/>
  <c r="E8" i="41"/>
  <c r="G8" i="41" s="1"/>
  <c r="E63" i="33"/>
  <c r="E575" i="33"/>
  <c r="E577" i="33" s="1"/>
  <c r="E60" i="33"/>
  <c r="C568" i="33"/>
  <c r="C213" i="33"/>
  <c r="C459" i="33"/>
  <c r="E61" i="33"/>
  <c r="E14" i="41"/>
  <c r="G14" i="41" s="1"/>
  <c r="C53" i="33"/>
  <c r="E12" i="41"/>
  <c r="G12" i="41" s="1"/>
  <c r="E20" i="41"/>
  <c r="G20" i="41" s="1"/>
  <c r="K81" i="27"/>
  <c r="C82" i="39"/>
  <c r="C86" i="39" s="1"/>
  <c r="C550" i="33"/>
  <c r="C554" i="33" s="1"/>
  <c r="C171" i="33"/>
  <c r="P234" i="40"/>
  <c r="P236" i="40" s="1"/>
  <c r="Z91" i="2"/>
  <c r="K46" i="27"/>
  <c r="AL53" i="2"/>
  <c r="K51" i="27" s="1"/>
  <c r="AA91" i="2"/>
  <c r="K40" i="27"/>
  <c r="C46" i="39"/>
  <c r="C50" i="39" s="1"/>
  <c r="C290" i="33"/>
  <c r="H91" i="2"/>
  <c r="K61" i="27"/>
  <c r="C71" i="45" s="1"/>
  <c r="K68" i="27"/>
  <c r="C508" i="33"/>
  <c r="C512" i="33" s="1"/>
  <c r="K7" i="27"/>
  <c r="C31" i="33"/>
  <c r="C35" i="33" s="1"/>
  <c r="K38" i="27"/>
  <c r="C302" i="33"/>
  <c r="C307" i="33" s="1"/>
  <c r="L45" i="32"/>
  <c r="K34" i="27"/>
  <c r="C200" i="39"/>
  <c r="C204" i="39" s="1"/>
  <c r="AL88" i="2"/>
  <c r="C603" i="33" s="1"/>
  <c r="C607" i="33" s="1"/>
  <c r="K71" i="27"/>
  <c r="C529" i="33"/>
  <c r="C533" i="33" s="1"/>
  <c r="C236" i="33"/>
  <c r="C240" i="33" s="1"/>
  <c r="K16" i="27"/>
  <c r="V91" i="2"/>
  <c r="K28" i="27"/>
  <c r="C174" i="33"/>
  <c r="C176" i="33" s="1"/>
  <c r="C180" i="33" s="1"/>
  <c r="L17" i="32"/>
  <c r="C28" i="39"/>
  <c r="C32" i="39" s="1"/>
  <c r="K4" i="27"/>
  <c r="AL3" i="2"/>
  <c r="U91" i="2"/>
  <c r="C233" i="33"/>
  <c r="E6" i="41" l="1"/>
  <c r="G6" i="41" s="1"/>
  <c r="K12" i="27"/>
  <c r="C21" i="45" s="1"/>
  <c r="P238" i="40"/>
  <c r="B260" i="40" s="1"/>
  <c r="H147" i="39"/>
  <c r="E16" i="41"/>
  <c r="E23" i="41"/>
  <c r="E30" i="41"/>
  <c r="K236" i="40"/>
  <c r="C46" i="45"/>
  <c r="D46" i="45" s="1"/>
  <c r="C118" i="33"/>
  <c r="C122" i="33" s="1"/>
  <c r="C35" i="45"/>
  <c r="D35" i="45" s="1"/>
  <c r="N25" i="27"/>
  <c r="R39" i="48" s="1"/>
  <c r="I118" i="33"/>
  <c r="N19" i="27"/>
  <c r="R30" i="48" s="1"/>
  <c r="C216" i="33"/>
  <c r="C220" i="33" s="1"/>
  <c r="N73" i="27"/>
  <c r="R86" i="48" s="1"/>
  <c r="I325" i="33"/>
  <c r="C325" i="33"/>
  <c r="C329" i="33" s="1"/>
  <c r="C56" i="45"/>
  <c r="D56" i="45" s="1"/>
  <c r="C194" i="33"/>
  <c r="C198" i="33" s="1"/>
  <c r="C70" i="45"/>
  <c r="C91" i="33"/>
  <c r="C95" i="33" s="1"/>
  <c r="N18" i="27"/>
  <c r="R29" i="48" s="1"/>
  <c r="C103" i="45"/>
  <c r="D103" i="45" s="1"/>
  <c r="C300" i="33"/>
  <c r="C267" i="33"/>
  <c r="C49" i="45"/>
  <c r="I302" i="33"/>
  <c r="I176" i="33"/>
  <c r="C38" i="45"/>
  <c r="C45" i="45"/>
  <c r="H200" i="39"/>
  <c r="N37" i="27"/>
  <c r="R52" i="48" s="1"/>
  <c r="C48" i="45"/>
  <c r="D48" i="45" s="1"/>
  <c r="C51" i="45"/>
  <c r="H101" i="39"/>
  <c r="C43" i="45"/>
  <c r="I216" i="33"/>
  <c r="H28" i="39"/>
  <c r="C13" i="45"/>
  <c r="C40" i="45"/>
  <c r="I194" i="33"/>
  <c r="C25" i="45"/>
  <c r="I236" i="33"/>
  <c r="C78" i="45"/>
  <c r="H120" i="39"/>
  <c r="N51" i="27"/>
  <c r="R66" i="48" s="1"/>
  <c r="C62" i="45"/>
  <c r="D62" i="45" s="1"/>
  <c r="C80" i="45"/>
  <c r="I529" i="33"/>
  <c r="C20" i="45"/>
  <c r="I91" i="33"/>
  <c r="C16" i="45"/>
  <c r="I31" i="33"/>
  <c r="C57" i="45"/>
  <c r="I383" i="33"/>
  <c r="C90" i="45"/>
  <c r="H82" i="39"/>
  <c r="H217" i="39"/>
  <c r="C42" i="45"/>
  <c r="C583" i="33"/>
  <c r="C66" i="33"/>
  <c r="E62" i="33"/>
  <c r="E66" i="33" s="1"/>
  <c r="I67" i="33"/>
  <c r="E296" i="33"/>
  <c r="E300" i="33" s="1"/>
  <c r="C306" i="33" s="1"/>
  <c r="I301" i="33"/>
  <c r="Q236" i="40"/>
  <c r="K3" i="27"/>
  <c r="M29" i="27"/>
  <c r="Q29" i="2"/>
  <c r="K87" i="27"/>
  <c r="M90" i="27" l="1"/>
  <c r="I13" i="46" s="1"/>
  <c r="K238" i="40"/>
  <c r="D21" i="47" s="1"/>
  <c r="E74" i="49"/>
  <c r="C72" i="33"/>
  <c r="X236" i="40"/>
  <c r="Y236" i="40" s="1"/>
  <c r="Y242" i="40" s="1"/>
  <c r="M255" i="40"/>
  <c r="C95" i="45"/>
  <c r="I603" i="33"/>
  <c r="N3" i="27"/>
  <c r="R13" i="48" s="1"/>
  <c r="C12" i="45"/>
  <c r="Y243" i="40"/>
  <c r="AL29" i="2"/>
  <c r="AL90" i="2" s="1"/>
  <c r="Q91" i="2"/>
  <c r="AL91" i="2" s="1"/>
  <c r="D12" i="45" l="1"/>
  <c r="AL94" i="2"/>
  <c r="AL92" i="2"/>
  <c r="K29" i="27"/>
  <c r="K90" i="27" s="1"/>
  <c r="C39" i="45" l="1"/>
  <c r="C10" i="45" s="1"/>
  <c r="AL95" i="2"/>
  <c r="N29" i="27"/>
  <c r="R43" i="48" s="1"/>
  <c r="D84" i="49" l="1"/>
  <c r="H13" i="46"/>
  <c r="J13" i="46" s="1"/>
  <c r="K13" i="46" s="1"/>
  <c r="F74" i="49"/>
  <c r="D39" i="45"/>
  <c r="I578" i="33"/>
  <c r="M256" i="40"/>
  <c r="D83" i="49" l="1"/>
  <c r="F79" i="49"/>
  <c r="B264" i="40"/>
  <c r="B266" i="40" s="1"/>
  <c r="O26" i="32" s="1"/>
  <c r="O5" i="32" l="1"/>
  <c r="O29" i="32"/>
  <c r="O11" i="32"/>
  <c r="O3" i="32"/>
  <c r="O4" i="32"/>
  <c r="O2" i="32"/>
  <c r="O6" i="32"/>
  <c r="O27" i="32"/>
  <c r="O30" i="32"/>
  <c r="O28" i="32"/>
  <c r="D85" i="49"/>
  <c r="D13" i="46"/>
  <c r="E21" i="47"/>
  <c r="B268" i="40"/>
  <c r="Y244" i="40"/>
  <c r="Y247" i="40" s="1"/>
  <c r="X147" i="40"/>
  <c r="Y147" i="40" s="1"/>
  <c r="E24" i="49"/>
  <c r="F24" i="49" s="1"/>
  <c r="F69" i="49" s="1"/>
  <c r="D82" i="49" s="1"/>
  <c r="D86" i="49" s="1"/>
  <c r="D89" i="49" s="1"/>
  <c r="P7" i="32" l="1"/>
  <c r="L238" i="40" l="1"/>
  <c r="L3" i="40"/>
  <c r="M4" i="40" s="1"/>
  <c r="L228" i="40"/>
  <c r="L144" i="40"/>
  <c r="L44" i="40"/>
  <c r="L205" i="40"/>
  <c r="L164" i="40"/>
  <c r="L146" i="40"/>
  <c r="L213" i="40"/>
  <c r="L111" i="40"/>
  <c r="L225" i="40"/>
  <c r="L45" i="40"/>
  <c r="L224" i="40"/>
  <c r="L156" i="40"/>
  <c r="L193" i="40"/>
  <c r="B352" i="33"/>
  <c r="L103" i="40"/>
  <c r="L19" i="40"/>
  <c r="L217" i="40"/>
  <c r="D595" i="33" s="1"/>
  <c r="B180" i="39"/>
  <c r="D178" i="39" s="1"/>
  <c r="D179" i="39" s="1"/>
  <c r="C185" i="39" s="1"/>
  <c r="C187" i="39" s="1"/>
  <c r="L102" i="40"/>
  <c r="D344" i="33" s="1"/>
  <c r="B527" i="33"/>
  <c r="D525" i="33" s="1"/>
  <c r="L135" i="40"/>
  <c r="D399" i="33" s="1"/>
  <c r="L214" i="40"/>
  <c r="L93" i="40"/>
  <c r="B601" i="33"/>
  <c r="L57" i="40"/>
  <c r="L18" i="40"/>
  <c r="L81" i="40"/>
  <c r="B232" i="39"/>
  <c r="L124" i="40"/>
  <c r="L134" i="40"/>
  <c r="L186" i="40"/>
  <c r="B323" i="33"/>
  <c r="L95" i="40"/>
  <c r="L142" i="40"/>
  <c r="L162" i="40"/>
  <c r="L175" i="40"/>
  <c r="L145" i="40"/>
  <c r="B460" i="33"/>
  <c r="D458" i="33" s="1"/>
  <c r="L98" i="40"/>
  <c r="D340" i="33" s="1"/>
  <c r="L24" i="40"/>
  <c r="D85" i="33" s="1"/>
  <c r="L220" i="40"/>
  <c r="D598" i="33" s="1"/>
  <c r="L219" i="40"/>
  <c r="D597" i="33" s="1"/>
  <c r="B172" i="33"/>
  <c r="L192" i="40"/>
  <c r="B99" i="39"/>
  <c r="L23" i="40"/>
  <c r="D84" i="33" s="1"/>
  <c r="L14" i="40"/>
  <c r="L37" i="40"/>
  <c r="L87" i="40"/>
  <c r="L6" i="40"/>
  <c r="L234" i="40"/>
  <c r="L127" i="40"/>
  <c r="L233" i="40"/>
  <c r="L20" i="40"/>
  <c r="L54" i="40"/>
  <c r="L114" i="40"/>
  <c r="L105" i="40"/>
  <c r="L86" i="40"/>
  <c r="E23" i="47"/>
  <c r="B268" i="33"/>
  <c r="L207" i="40"/>
  <c r="L163" i="40"/>
  <c r="D503" i="33" s="1"/>
  <c r="L76" i="40"/>
  <c r="D209" i="33" s="1"/>
  <c r="P13" i="32"/>
  <c r="L167" i="40"/>
  <c r="D523" i="33" s="1"/>
  <c r="B234" i="33"/>
  <c r="L221" i="40"/>
  <c r="D599" i="33" s="1"/>
  <c r="L218" i="40"/>
  <c r="D596" i="33" s="1"/>
  <c r="L118" i="40"/>
  <c r="L13" i="40"/>
  <c r="L33" i="40"/>
  <c r="L169" i="40"/>
  <c r="L108" i="40"/>
  <c r="L43" i="40"/>
  <c r="L232" i="40"/>
  <c r="L152" i="40"/>
  <c r="L55" i="40"/>
  <c r="L128" i="40"/>
  <c r="L38" i="40"/>
  <c r="L89" i="40"/>
  <c r="L63" i="40"/>
  <c r="L203" i="40"/>
  <c r="B29" i="33"/>
  <c r="L94" i="40"/>
  <c r="L47" i="40"/>
  <c r="L64" i="40"/>
  <c r="L202" i="40"/>
  <c r="G63" i="49" s="1"/>
  <c r="H63" i="49" s="1"/>
  <c r="L151" i="40"/>
  <c r="D451" i="33" s="1"/>
  <c r="L155" i="40"/>
  <c r="D456" i="33" s="1"/>
  <c r="L8" i="40"/>
  <c r="D26" i="33" s="1"/>
  <c r="L150" i="40"/>
  <c r="D450" i="33" s="1"/>
  <c r="L9" i="40"/>
  <c r="D27" i="33" s="1"/>
  <c r="L201" i="40"/>
  <c r="L180" i="40"/>
  <c r="L172" i="40"/>
  <c r="L157" i="40"/>
  <c r="L68" i="40"/>
  <c r="L16" i="40"/>
  <c r="L48" i="40"/>
  <c r="L77" i="40"/>
  <c r="L121" i="40"/>
  <c r="B139" i="39"/>
  <c r="L49" i="40"/>
  <c r="L78" i="40"/>
  <c r="L56" i="40"/>
  <c r="L36" i="40"/>
  <c r="L62" i="40"/>
  <c r="L211" i="40"/>
  <c r="D92" i="49"/>
  <c r="L113" i="40"/>
  <c r="L129" i="40"/>
  <c r="L168" i="40"/>
  <c r="L106" i="40"/>
  <c r="D348" i="33" s="1"/>
  <c r="L26" i="40"/>
  <c r="D87" i="33" s="1"/>
  <c r="L204" i="40"/>
  <c r="M205" i="40" s="1"/>
  <c r="B621" i="33"/>
  <c r="D618" i="33" s="1"/>
  <c r="L197" i="40"/>
  <c r="L187" i="40"/>
  <c r="L75" i="40"/>
  <c r="L32" i="40"/>
  <c r="B506" i="33"/>
  <c r="B548" i="33"/>
  <c r="L53" i="40"/>
  <c r="L52" i="40"/>
  <c r="L85" i="40"/>
  <c r="L58" i="40"/>
  <c r="L104" i="40"/>
  <c r="L120" i="40"/>
  <c r="L35" i="40"/>
  <c r="L17" i="40"/>
  <c r="L131" i="40"/>
  <c r="L67" i="40"/>
  <c r="L82" i="40"/>
  <c r="L153" i="40"/>
  <c r="L46" i="40"/>
  <c r="L69" i="40"/>
  <c r="L125" i="40"/>
  <c r="D375" i="33" s="1"/>
  <c r="L7" i="40"/>
  <c r="D25" i="33" s="1"/>
  <c r="B198" i="39"/>
  <c r="D196" i="39" s="1"/>
  <c r="D197" i="39" s="1"/>
  <c r="C203" i="39" s="1"/>
  <c r="C205" i="39" s="1"/>
  <c r="B54" i="33"/>
  <c r="D45" i="33" s="1"/>
  <c r="B433" i="33"/>
  <c r="L65" i="40"/>
  <c r="L210" i="40"/>
  <c r="L154" i="40"/>
  <c r="L66" i="40"/>
  <c r="L30" i="40"/>
  <c r="L92" i="40"/>
  <c r="L115" i="40"/>
  <c r="L41" i="40"/>
  <c r="L138" i="40"/>
  <c r="L28" i="40"/>
  <c r="L119" i="40"/>
  <c r="L101" i="40"/>
  <c r="L34" i="40"/>
  <c r="L73" i="40"/>
  <c r="L99" i="40"/>
  <c r="D341" i="33" s="1"/>
  <c r="L50" i="40"/>
  <c r="L70" i="40"/>
  <c r="D170" i="33" s="1"/>
  <c r="L31" i="40"/>
  <c r="D108" i="33" s="1"/>
  <c r="B485" i="33"/>
  <c r="D483" i="33" s="1"/>
  <c r="D484" i="33" s="1"/>
  <c r="C490" i="33" s="1"/>
  <c r="C492" i="33" s="1"/>
  <c r="L183" i="40"/>
  <c r="L42" i="40"/>
  <c r="L126" i="40"/>
  <c r="L10" i="40"/>
  <c r="L139" i="40"/>
  <c r="L143" i="40"/>
  <c r="L15" i="40"/>
  <c r="L136" i="40"/>
  <c r="L173" i="40"/>
  <c r="L137" i="40"/>
  <c r="L235" i="40"/>
  <c r="L130" i="40"/>
  <c r="L107" i="40"/>
  <c r="L174" i="40"/>
  <c r="L88" i="40"/>
  <c r="L51" i="40"/>
  <c r="L212" i="40"/>
  <c r="B215" i="39"/>
  <c r="B214" i="33"/>
  <c r="D211" i="33" s="1"/>
  <c r="L100" i="40"/>
  <c r="D342" i="33" s="1"/>
  <c r="L122" i="40"/>
  <c r="D371" i="33" s="1"/>
  <c r="B291" i="33"/>
  <c r="D288" i="33" s="1"/>
  <c r="B192" i="33"/>
  <c r="D190" i="33" s="1"/>
  <c r="D191" i="33" s="1"/>
  <c r="C197" i="33" s="1"/>
  <c r="C199" i="33" s="1"/>
  <c r="B145" i="33"/>
  <c r="D134" i="33" s="1"/>
  <c r="L25" i="40"/>
  <c r="D86" i="33" s="1"/>
  <c r="L185" i="40"/>
  <c r="L72" i="40"/>
  <c r="L184" i="40"/>
  <c r="B89" i="33"/>
  <c r="D83" i="33" s="1"/>
  <c r="L200" i="40"/>
  <c r="L148" i="40"/>
  <c r="L91" i="40"/>
  <c r="L133" i="40"/>
  <c r="L117" i="40"/>
  <c r="L190" i="40"/>
  <c r="L141" i="40"/>
  <c r="B381" i="33"/>
  <c r="D378" i="33" s="1"/>
  <c r="L216" i="40"/>
  <c r="L178" i="40"/>
  <c r="L40" i="40"/>
  <c r="B8" i="33"/>
  <c r="D6" i="33" s="1"/>
  <c r="D7" i="33" s="1"/>
  <c r="C13" i="33" s="1"/>
  <c r="C15" i="33" s="1"/>
  <c r="P10" i="32"/>
  <c r="L80" i="40"/>
  <c r="L179" i="40"/>
  <c r="B405" i="33"/>
  <c r="L110" i="40"/>
  <c r="L149" i="40"/>
  <c r="D449" i="33" s="1"/>
  <c r="L112" i="40"/>
  <c r="D319" i="33" s="1"/>
  <c r="L191" i="40"/>
  <c r="L181" i="40"/>
  <c r="L171" i="40"/>
  <c r="D543" i="33" s="1"/>
  <c r="L198" i="40"/>
  <c r="L188" i="40"/>
  <c r="L12" i="40"/>
  <c r="B162" i="39"/>
  <c r="D160" i="39" s="1"/>
  <c r="D161" i="39" s="1"/>
  <c r="C167" i="39" s="1"/>
  <c r="C169" i="39" s="1"/>
  <c r="L5" i="40"/>
  <c r="L199" i="40"/>
  <c r="G60" i="49" s="1"/>
  <c r="H60" i="49" s="1"/>
  <c r="B116" i="33"/>
  <c r="D113" i="33" s="1"/>
  <c r="L22" i="40"/>
  <c r="L97" i="40"/>
  <c r="L206" i="40"/>
  <c r="B257" i="33"/>
  <c r="D251" i="33" s="1"/>
  <c r="B118" i="39"/>
  <c r="D115" i="39" s="1"/>
  <c r="L60" i="40"/>
  <c r="L166" i="40"/>
  <c r="L161" i="40"/>
  <c r="L123" i="40"/>
  <c r="D372" i="33" s="1"/>
  <c r="L84" i="40"/>
  <c r="L195" i="40"/>
  <c r="B26" i="39"/>
  <c r="D24" i="39" s="1"/>
  <c r="D25" i="39" s="1"/>
  <c r="C31" i="39" s="1"/>
  <c r="C33" i="39" s="1"/>
  <c r="L182" i="40"/>
  <c r="G38" i="49" s="1"/>
  <c r="H38" i="49" s="1"/>
  <c r="L196" i="40"/>
  <c r="B44" i="39"/>
  <c r="D42" i="39" s="1"/>
  <c r="D43" i="39" s="1"/>
  <c r="C49" i="39" s="1"/>
  <c r="C51" i="39" s="1"/>
  <c r="L61" i="40"/>
  <c r="D161" i="33" s="1"/>
  <c r="L29" i="40"/>
  <c r="L159" i="40"/>
  <c r="M160" i="40" s="1"/>
  <c r="L209" i="40"/>
  <c r="B62" i="39"/>
  <c r="D60" i="39" s="1"/>
  <c r="D61" i="39" s="1"/>
  <c r="C67" i="39" s="1"/>
  <c r="C69" i="39" s="1"/>
  <c r="B8" i="39"/>
  <c r="D6" i="39" s="1"/>
  <c r="D7" i="39" s="1"/>
  <c r="C13" i="39" s="1"/>
  <c r="C15" i="39" s="1"/>
  <c r="B569" i="33"/>
  <c r="D566" i="33" s="1"/>
  <c r="L231" i="40"/>
  <c r="B80" i="39"/>
  <c r="D78" i="39" s="1"/>
  <c r="D79" i="39" s="1"/>
  <c r="C85" i="39" s="1"/>
  <c r="C87" i="39" s="1"/>
  <c r="L223" i="40"/>
  <c r="D346" i="33" l="1"/>
  <c r="D345" i="33"/>
  <c r="D501" i="33"/>
  <c r="D428" i="33"/>
  <c r="D88" i="33"/>
  <c r="D457" i="33"/>
  <c r="I77" i="27"/>
  <c r="D137" i="39"/>
  <c r="D546" i="33"/>
  <c r="D431" i="33"/>
  <c r="D429" i="33"/>
  <c r="D430" i="33"/>
  <c r="M194" i="40"/>
  <c r="H138" i="39"/>
  <c r="M59" i="40"/>
  <c r="I15" i="27" s="1"/>
  <c r="I145" i="33" s="1"/>
  <c r="D368" i="33"/>
  <c r="D370" i="33"/>
  <c r="D374" i="33"/>
  <c r="D376" i="33"/>
  <c r="D162" i="33"/>
  <c r="D253" i="33"/>
  <c r="D254" i="33"/>
  <c r="D231" i="33"/>
  <c r="D230" i="33"/>
  <c r="D114" i="33"/>
  <c r="D140" i="33"/>
  <c r="D111" i="33"/>
  <c r="D105" i="33"/>
  <c r="M208" i="40"/>
  <c r="M74" i="40"/>
  <c r="I191" i="33" s="1"/>
  <c r="M226" i="40"/>
  <c r="I88" i="27" s="1"/>
  <c r="P17" i="32"/>
  <c r="M27" i="40"/>
  <c r="I88" i="33" s="1"/>
  <c r="M83" i="40"/>
  <c r="I233" i="33" s="1"/>
  <c r="M170" i="40"/>
  <c r="I526" i="33" s="1"/>
  <c r="M165" i="40"/>
  <c r="I505" i="33" s="1"/>
  <c r="M96" i="40"/>
  <c r="I290" i="33" s="1"/>
  <c r="M215" i="40"/>
  <c r="M176" i="40"/>
  <c r="M21" i="40"/>
  <c r="I53" i="33" s="1"/>
  <c r="M222" i="40"/>
  <c r="I87" i="27" s="1"/>
  <c r="M71" i="40"/>
  <c r="M11" i="40"/>
  <c r="M109" i="40"/>
  <c r="I351" i="33" s="1"/>
  <c r="M79" i="40"/>
  <c r="I213" i="33" s="1"/>
  <c r="M132" i="40"/>
  <c r="M140" i="40"/>
  <c r="M189" i="40"/>
  <c r="M186" i="40"/>
  <c r="M116" i="40"/>
  <c r="M158" i="40"/>
  <c r="M203" i="40"/>
  <c r="M90" i="40"/>
  <c r="I33" i="27" s="1"/>
  <c r="M147" i="40"/>
  <c r="I53" i="27" s="1"/>
  <c r="M39" i="40"/>
  <c r="I12" i="27" s="1"/>
  <c r="C94" i="33"/>
  <c r="C96" i="33" s="1"/>
  <c r="I484" i="33"/>
  <c r="I59" i="27"/>
  <c r="G59" i="49"/>
  <c r="H59" i="49" s="1"/>
  <c r="H197" i="39"/>
  <c r="I34" i="27"/>
  <c r="D401" i="33"/>
  <c r="D403" i="33"/>
  <c r="D402" i="33"/>
  <c r="D398" i="33"/>
  <c r="D400" i="33"/>
  <c r="D397" i="33"/>
  <c r="D379" i="33"/>
  <c r="D373" i="33"/>
  <c r="D377" i="33"/>
  <c r="D369" i="33"/>
  <c r="D232" i="33"/>
  <c r="D97" i="39"/>
  <c r="D96" i="39"/>
  <c r="G35" i="49"/>
  <c r="H35" i="49" s="1"/>
  <c r="H25" i="39"/>
  <c r="I4" i="27"/>
  <c r="I68" i="27"/>
  <c r="H117" i="39"/>
  <c r="G40" i="49"/>
  <c r="H40" i="49" s="1"/>
  <c r="P31" i="32"/>
  <c r="D136" i="39"/>
  <c r="I62" i="27"/>
  <c r="G52" i="49"/>
  <c r="H52" i="49" s="1"/>
  <c r="D112" i="33"/>
  <c r="D109" i="33"/>
  <c r="D106" i="33"/>
  <c r="D110" i="33"/>
  <c r="D107" i="33"/>
  <c r="I7" i="33"/>
  <c r="I8" i="33"/>
  <c r="I5" i="27"/>
  <c r="G50" i="49"/>
  <c r="I8" i="27"/>
  <c r="D134" i="39"/>
  <c r="D210" i="33"/>
  <c r="D318" i="33"/>
  <c r="D166" i="33"/>
  <c r="D169" i="33"/>
  <c r="D168" i="33"/>
  <c r="D262" i="33"/>
  <c r="D167" i="33"/>
  <c r="D165" i="33"/>
  <c r="D321" i="33"/>
  <c r="D317" i="33"/>
  <c r="D266" i="33"/>
  <c r="D263" i="33"/>
  <c r="D164" i="33"/>
  <c r="D320" i="33"/>
  <c r="D350" i="33"/>
  <c r="D163" i="33"/>
  <c r="D347" i="33"/>
  <c r="D349" i="33"/>
  <c r="D339" i="33"/>
  <c r="D264" i="33"/>
  <c r="D343" i="33"/>
  <c r="I40" i="27"/>
  <c r="H98" i="39"/>
  <c r="G37" i="49"/>
  <c r="H37" i="49" s="1"/>
  <c r="H79" i="39"/>
  <c r="G41" i="49"/>
  <c r="H41" i="49" s="1"/>
  <c r="I81" i="27"/>
  <c r="D504" i="33"/>
  <c r="D502" i="33"/>
  <c r="D208" i="33"/>
  <c r="D522" i="33"/>
  <c r="D544" i="33"/>
  <c r="D545" i="33"/>
  <c r="D524" i="33"/>
  <c r="D265" i="33"/>
  <c r="M236" i="40"/>
  <c r="D567" i="33"/>
  <c r="D565" i="33"/>
  <c r="D564" i="33"/>
  <c r="G57" i="49"/>
  <c r="H57" i="49" s="1"/>
  <c r="H179" i="39"/>
  <c r="I13" i="27"/>
  <c r="D24" i="33"/>
  <c r="D135" i="39"/>
  <c r="G51" i="49"/>
  <c r="H51" i="49" s="1"/>
  <c r="I9" i="27"/>
  <c r="D47" i="33"/>
  <c r="D51" i="33"/>
  <c r="D49" i="33"/>
  <c r="D52" i="33"/>
  <c r="D46" i="33"/>
  <c r="D48" i="33"/>
  <c r="D50" i="33"/>
  <c r="G45" i="49"/>
  <c r="D230" i="39"/>
  <c r="D231" i="39" s="1"/>
  <c r="C237" i="39" s="1"/>
  <c r="C239" i="39" s="1"/>
  <c r="H231" i="39"/>
  <c r="I24" i="27"/>
  <c r="G36" i="49"/>
  <c r="H36" i="49" s="1"/>
  <c r="H43" i="39"/>
  <c r="I22" i="27"/>
  <c r="D141" i="33"/>
  <c r="D135" i="33"/>
  <c r="D139" i="33"/>
  <c r="D137" i="33"/>
  <c r="D142" i="33"/>
  <c r="D136" i="33"/>
  <c r="D138" i="33"/>
  <c r="D132" i="33"/>
  <c r="D143" i="33"/>
  <c r="D133" i="33"/>
  <c r="H61" i="39"/>
  <c r="G39" i="49"/>
  <c r="H39" i="49" s="1"/>
  <c r="G58" i="49"/>
  <c r="H58" i="49" s="1"/>
  <c r="H214" i="39"/>
  <c r="I31" i="27"/>
  <c r="D213" i="39"/>
  <c r="D214" i="39" s="1"/>
  <c r="C220" i="39" s="1"/>
  <c r="C222" i="39" s="1"/>
  <c r="D116" i="39"/>
  <c r="D117" i="39" s="1"/>
  <c r="C123" i="39" s="1"/>
  <c r="C125" i="39" s="1"/>
  <c r="G62" i="49"/>
  <c r="H62" i="49" s="1"/>
  <c r="G34" i="49"/>
  <c r="H7" i="39"/>
  <c r="I2" i="27"/>
  <c r="D617" i="33"/>
  <c r="D619" i="33"/>
  <c r="D252" i="33"/>
  <c r="D255" i="33"/>
  <c r="D250" i="33"/>
  <c r="H161" i="39"/>
  <c r="G56" i="49"/>
  <c r="I43" i="27"/>
  <c r="G67" i="49"/>
  <c r="D212" i="33"/>
  <c r="G46" i="49"/>
  <c r="H46" i="49" s="1"/>
  <c r="D594" i="33"/>
  <c r="D600" i="33" s="1"/>
  <c r="C606" i="33" s="1"/>
  <c r="C608" i="33" s="1"/>
  <c r="I60" i="27"/>
  <c r="G61" i="49"/>
  <c r="H61" i="49" s="1"/>
  <c r="D287" i="33"/>
  <c r="D285" i="33"/>
  <c r="D286" i="33"/>
  <c r="D289" i="33"/>
  <c r="I76" i="27"/>
  <c r="N76" i="27" s="1"/>
  <c r="R89" i="48" s="1"/>
  <c r="D453" i="33"/>
  <c r="D452" i="33"/>
  <c r="D454" i="33"/>
  <c r="D455" i="33"/>
  <c r="B11" i="45" l="1"/>
  <c r="I568" i="33"/>
  <c r="I83" i="27"/>
  <c r="D547" i="33"/>
  <c r="C553" i="33" s="1"/>
  <c r="C555" i="33" s="1"/>
  <c r="D138" i="39"/>
  <c r="H139" i="39"/>
  <c r="N77" i="27"/>
  <c r="R90" i="48" s="1"/>
  <c r="B86" i="45"/>
  <c r="D86" i="45" s="1"/>
  <c r="D380" i="33"/>
  <c r="C386" i="33" s="1"/>
  <c r="C388" i="33" s="1"/>
  <c r="D351" i="33"/>
  <c r="C357" i="33" s="1"/>
  <c r="C359" i="33" s="1"/>
  <c r="D144" i="33"/>
  <c r="C150" i="33" s="1"/>
  <c r="C152" i="33" s="1"/>
  <c r="D28" i="33"/>
  <c r="C34" i="33" s="1"/>
  <c r="C36" i="33" s="1"/>
  <c r="D115" i="33"/>
  <c r="C121" i="33" s="1"/>
  <c r="C123" i="33" s="1"/>
  <c r="I620" i="33"/>
  <c r="I10" i="27"/>
  <c r="N10" i="27" s="1"/>
  <c r="I69" i="27"/>
  <c r="B79" i="45" s="1"/>
  <c r="D79" i="45" s="1"/>
  <c r="I256" i="33"/>
  <c r="I16" i="27"/>
  <c r="N16" i="27" s="1"/>
  <c r="G17" i="49"/>
  <c r="H17" i="49" s="1"/>
  <c r="B91" i="45"/>
  <c r="D91" i="45" s="1"/>
  <c r="I38" i="27"/>
  <c r="I291" i="33" s="1"/>
  <c r="I71" i="27"/>
  <c r="G28" i="49" s="1"/>
  <c r="H28" i="49" s="1"/>
  <c r="I144" i="33"/>
  <c r="I41" i="27"/>
  <c r="B52" i="45" s="1"/>
  <c r="D52" i="45" s="1"/>
  <c r="I432" i="33"/>
  <c r="I11" i="27"/>
  <c r="B19" i="45" s="1"/>
  <c r="D19" i="45" s="1"/>
  <c r="I115" i="33"/>
  <c r="D568" i="33"/>
  <c r="C582" i="33" s="1"/>
  <c r="C585" i="33" s="1"/>
  <c r="D322" i="33"/>
  <c r="C328" i="33" s="1"/>
  <c r="C330" i="33" s="1"/>
  <c r="I30" i="27"/>
  <c r="N30" i="27" s="1"/>
  <c r="I32" i="27"/>
  <c r="N32" i="27" s="1"/>
  <c r="D404" i="33"/>
  <c r="C416" i="33" s="1"/>
  <c r="C419" i="33" s="1"/>
  <c r="D432" i="33"/>
  <c r="C438" i="33" s="1"/>
  <c r="C440" i="33" s="1"/>
  <c r="D620" i="33"/>
  <c r="C626" i="33" s="1"/>
  <c r="C628" i="33" s="1"/>
  <c r="D171" i="33"/>
  <c r="C179" i="33" s="1"/>
  <c r="C181" i="33" s="1"/>
  <c r="D505" i="33"/>
  <c r="C511" i="33" s="1"/>
  <c r="C513" i="33" s="1"/>
  <c r="D459" i="33"/>
  <c r="C471" i="33" s="1"/>
  <c r="C474" i="33" s="1"/>
  <c r="I600" i="33"/>
  <c r="B54" i="45"/>
  <c r="D54" i="45" s="1"/>
  <c r="H162" i="39"/>
  <c r="N43" i="27"/>
  <c r="H8" i="39"/>
  <c r="N2" i="27"/>
  <c r="D53" i="33"/>
  <c r="C71" i="33" s="1"/>
  <c r="C74" i="33" s="1"/>
  <c r="B18" i="45"/>
  <c r="D18" i="45" s="1"/>
  <c r="N9" i="27"/>
  <c r="R20" i="48" s="1"/>
  <c r="N8" i="27"/>
  <c r="B17" i="45"/>
  <c r="D17" i="45" s="1"/>
  <c r="N68" i="27"/>
  <c r="H118" i="39"/>
  <c r="B78" i="45"/>
  <c r="D78" i="45" s="1"/>
  <c r="H56" i="49"/>
  <c r="G64" i="49"/>
  <c r="H64" i="49" s="1"/>
  <c r="H215" i="39"/>
  <c r="B42" i="45"/>
  <c r="D42" i="45" s="1"/>
  <c r="N31" i="27"/>
  <c r="N24" i="27"/>
  <c r="B34" i="45"/>
  <c r="D34" i="45" s="1"/>
  <c r="H232" i="39"/>
  <c r="H99" i="39"/>
  <c r="N40" i="27"/>
  <c r="B51" i="45"/>
  <c r="D51" i="45" s="1"/>
  <c r="G53" i="49"/>
  <c r="H53" i="49" s="1"/>
  <c r="H50" i="49"/>
  <c r="I433" i="33"/>
  <c r="B64" i="45"/>
  <c r="D64" i="45" s="1"/>
  <c r="N53" i="27"/>
  <c r="G24" i="49"/>
  <c r="H24" i="49" s="1"/>
  <c r="D233" i="33"/>
  <c r="C239" i="33" s="1"/>
  <c r="C241" i="33" s="1"/>
  <c r="G42" i="49"/>
  <c r="H42" i="49" s="1"/>
  <c r="H34" i="49"/>
  <c r="I7" i="27"/>
  <c r="I90" i="27" s="1"/>
  <c r="I28" i="33"/>
  <c r="G12" i="49"/>
  <c r="H12" i="49" s="1"/>
  <c r="I116" i="33"/>
  <c r="B21" i="45"/>
  <c r="D21" i="45" s="1"/>
  <c r="N12" i="27"/>
  <c r="D526" i="33"/>
  <c r="C532" i="33" s="1"/>
  <c r="C534" i="33" s="1"/>
  <c r="B90" i="45"/>
  <c r="D90" i="45" s="1"/>
  <c r="H80" i="39"/>
  <c r="N81" i="27"/>
  <c r="N62" i="27"/>
  <c r="B72" i="45"/>
  <c r="D72" i="45" s="1"/>
  <c r="H26" i="39"/>
  <c r="B13" i="45"/>
  <c r="N4" i="27"/>
  <c r="I257" i="33"/>
  <c r="B44" i="45"/>
  <c r="D44" i="45" s="1"/>
  <c r="G18" i="49"/>
  <c r="H18" i="49" s="1"/>
  <c r="G13" i="49"/>
  <c r="H13" i="49" s="1"/>
  <c r="B24" i="45"/>
  <c r="D24" i="45" s="1"/>
  <c r="N15" i="27"/>
  <c r="I171" i="33"/>
  <c r="I28" i="27"/>
  <c r="I267" i="33"/>
  <c r="L33" i="27"/>
  <c r="L90" i="27" s="1"/>
  <c r="D267" i="33"/>
  <c r="C274" i="33" s="1"/>
  <c r="N88" i="27"/>
  <c r="R35" i="48" s="1"/>
  <c r="I621" i="33"/>
  <c r="B31" i="45"/>
  <c r="D31" i="45" s="1"/>
  <c r="G32" i="49"/>
  <c r="H32" i="49" s="1"/>
  <c r="H62" i="39"/>
  <c r="N60" i="27"/>
  <c r="B70" i="45"/>
  <c r="D70" i="45" s="1"/>
  <c r="D256" i="33"/>
  <c r="C273" i="33" s="1"/>
  <c r="H45" i="49"/>
  <c r="G47" i="49"/>
  <c r="H47" i="49" s="1"/>
  <c r="B22" i="45"/>
  <c r="D22" i="45" s="1"/>
  <c r="H180" i="39"/>
  <c r="N13" i="27"/>
  <c r="D213" i="33"/>
  <c r="C219" i="33" s="1"/>
  <c r="C221" i="33" s="1"/>
  <c r="M228" i="40"/>
  <c r="G26" i="49"/>
  <c r="H26" i="49" s="1"/>
  <c r="I485" i="33"/>
  <c r="B69" i="45"/>
  <c r="D69" i="45" s="1"/>
  <c r="N59" i="27"/>
  <c r="I322" i="33"/>
  <c r="I42" i="27"/>
  <c r="D290" i="33"/>
  <c r="C305" i="33" s="1"/>
  <c r="C308" i="33" s="1"/>
  <c r="G68" i="49"/>
  <c r="H68" i="49" s="1"/>
  <c r="H67" i="49"/>
  <c r="I459" i="33"/>
  <c r="I61" i="27"/>
  <c r="B71" i="45" s="1"/>
  <c r="D71" i="45" s="1"/>
  <c r="H44" i="39"/>
  <c r="B32" i="45"/>
  <c r="D32" i="45" s="1"/>
  <c r="N22" i="27"/>
  <c r="I404" i="33"/>
  <c r="I50" i="27"/>
  <c r="I380" i="33"/>
  <c r="I46" i="27"/>
  <c r="C149" i="39"/>
  <c r="C151" i="39" s="1"/>
  <c r="G5" i="49"/>
  <c r="B14" i="45"/>
  <c r="D14" i="45" s="1"/>
  <c r="N5" i="27"/>
  <c r="I547" i="33"/>
  <c r="I74" i="27"/>
  <c r="D98" i="39"/>
  <c r="C104" i="39" s="1"/>
  <c r="C106" i="39" s="1"/>
  <c r="B45" i="45"/>
  <c r="D45" i="45" s="1"/>
  <c r="H198" i="39"/>
  <c r="N34" i="27"/>
  <c r="N33" i="27" l="1"/>
  <c r="R76" i="48"/>
  <c r="H151" i="39"/>
  <c r="D13" i="45"/>
  <c r="G27" i="49"/>
  <c r="H27" i="49" s="1"/>
  <c r="I506" i="33"/>
  <c r="I569" i="33"/>
  <c r="B25" i="45"/>
  <c r="D25" i="45" s="1"/>
  <c r="I234" i="33"/>
  <c r="I89" i="33"/>
  <c r="G19" i="49"/>
  <c r="H19" i="49" s="1"/>
  <c r="G8" i="49"/>
  <c r="H8" i="49" s="1"/>
  <c r="B20" i="45"/>
  <c r="D20" i="45" s="1"/>
  <c r="B49" i="45"/>
  <c r="D49" i="45" s="1"/>
  <c r="N38" i="27"/>
  <c r="R53" i="48" s="1"/>
  <c r="G30" i="49"/>
  <c r="H30" i="49" s="1"/>
  <c r="N83" i="27"/>
  <c r="I585" i="33" s="1"/>
  <c r="N69" i="27"/>
  <c r="R83" i="48" s="1"/>
  <c r="I527" i="33"/>
  <c r="N71" i="27"/>
  <c r="I534" i="33" s="1"/>
  <c r="B80" i="45"/>
  <c r="D80" i="45" s="1"/>
  <c r="G20" i="49"/>
  <c r="H20" i="49" s="1"/>
  <c r="N41" i="27"/>
  <c r="I359" i="33" s="1"/>
  <c r="I352" i="33"/>
  <c r="I54" i="33"/>
  <c r="G7" i="49"/>
  <c r="H7" i="49" s="1"/>
  <c r="N11" i="27"/>
  <c r="R22" i="48" s="1"/>
  <c r="M238" i="40"/>
  <c r="M254" i="40" s="1"/>
  <c r="N254" i="40"/>
  <c r="P254" i="40" s="1"/>
  <c r="B40" i="45"/>
  <c r="D40" i="45" s="1"/>
  <c r="I192" i="33"/>
  <c r="G15" i="49"/>
  <c r="H15" i="49" s="1"/>
  <c r="I214" i="33"/>
  <c r="B43" i="45"/>
  <c r="D43" i="45" s="1"/>
  <c r="G16" i="49"/>
  <c r="H16" i="49" s="1"/>
  <c r="C276" i="33"/>
  <c r="R48" i="48"/>
  <c r="I276" i="33"/>
  <c r="R74" i="48"/>
  <c r="H69" i="39"/>
  <c r="I628" i="33"/>
  <c r="N28" i="27"/>
  <c r="B38" i="45"/>
  <c r="D38" i="45" s="1"/>
  <c r="I172" i="33"/>
  <c r="G14" i="49"/>
  <c r="H14" i="49" s="1"/>
  <c r="H106" i="39"/>
  <c r="R55" i="48"/>
  <c r="R21" i="48"/>
  <c r="I96" i="33"/>
  <c r="D11" i="45"/>
  <c r="I15" i="33"/>
  <c r="R15" i="48"/>
  <c r="R36" i="48"/>
  <c r="H51" i="39"/>
  <c r="I323" i="33"/>
  <c r="B53" i="45"/>
  <c r="D53" i="45" s="1"/>
  <c r="N42" i="27"/>
  <c r="G21" i="49"/>
  <c r="H21" i="49" s="1"/>
  <c r="R24" i="48"/>
  <c r="H187" i="39"/>
  <c r="R44" i="48"/>
  <c r="I199" i="33"/>
  <c r="R68" i="48"/>
  <c r="I440" i="33"/>
  <c r="H15" i="39"/>
  <c r="R12" i="48"/>
  <c r="H5" i="49"/>
  <c r="I152" i="33"/>
  <c r="R26" i="48"/>
  <c r="R95" i="48"/>
  <c r="H87" i="39"/>
  <c r="I123" i="33"/>
  <c r="R23" i="48"/>
  <c r="I492" i="33"/>
  <c r="R73" i="48"/>
  <c r="R27" i="48"/>
  <c r="I241" i="33"/>
  <c r="R47" i="48"/>
  <c r="I221" i="33"/>
  <c r="R19" i="48"/>
  <c r="H169" i="39"/>
  <c r="R58" i="48"/>
  <c r="I460" i="33"/>
  <c r="G25" i="49"/>
  <c r="H25" i="49" s="1"/>
  <c r="N61" i="27"/>
  <c r="I29" i="33"/>
  <c r="N7" i="27"/>
  <c r="G6" i="49"/>
  <c r="H6" i="49" s="1"/>
  <c r="B16" i="45"/>
  <c r="D16" i="45" s="1"/>
  <c r="H239" i="39"/>
  <c r="R38" i="48"/>
  <c r="R82" i="48"/>
  <c r="H125" i="39"/>
  <c r="G22" i="49"/>
  <c r="H22" i="49" s="1"/>
  <c r="I381" i="33"/>
  <c r="N46" i="27"/>
  <c r="B57" i="45"/>
  <c r="D57" i="45" s="1"/>
  <c r="R14" i="48"/>
  <c r="H33" i="39"/>
  <c r="R46" i="48"/>
  <c r="H222" i="39"/>
  <c r="R49" i="48"/>
  <c r="H205" i="39"/>
  <c r="I268" i="33"/>
  <c r="B106" i="45"/>
  <c r="D106" i="45" s="1"/>
  <c r="G74" i="49"/>
  <c r="I601" i="33"/>
  <c r="B95" i="45"/>
  <c r="D95" i="45" s="1"/>
  <c r="G31" i="49"/>
  <c r="H31" i="49" s="1"/>
  <c r="N87" i="27"/>
  <c r="B83" i="45"/>
  <c r="D83" i="45" s="1"/>
  <c r="I548" i="33"/>
  <c r="G29" i="49"/>
  <c r="H29" i="49" s="1"/>
  <c r="N74" i="27"/>
  <c r="B61" i="45"/>
  <c r="D61" i="45" s="1"/>
  <c r="I405" i="33"/>
  <c r="G23" i="49"/>
  <c r="H23" i="49" s="1"/>
  <c r="N50" i="27"/>
  <c r="N90" i="27"/>
  <c r="M95" i="27" s="1"/>
  <c r="N91" i="27" l="1"/>
  <c r="B10" i="45"/>
  <c r="D10" i="45" s="1"/>
  <c r="E13" i="46"/>
  <c r="I308" i="33"/>
  <c r="I513" i="33"/>
  <c r="R96" i="48"/>
  <c r="R56" i="48"/>
  <c r="R84" i="48"/>
  <c r="I74" i="33"/>
  <c r="F13" i="46"/>
  <c r="P255" i="40"/>
  <c r="R57" i="48"/>
  <c r="I330" i="33"/>
  <c r="R42" i="48"/>
  <c r="I181" i="33"/>
  <c r="I474" i="33"/>
  <c r="R75" i="48"/>
  <c r="R61" i="48"/>
  <c r="I388" i="33"/>
  <c r="I608" i="33"/>
  <c r="R101" i="48"/>
  <c r="G69" i="49"/>
  <c r="R65" i="48"/>
  <c r="I419" i="33"/>
  <c r="R87" i="48"/>
  <c r="I555" i="33"/>
  <c r="G79" i="49"/>
  <c r="H74" i="49"/>
  <c r="H79" i="49" s="1"/>
  <c r="I36" i="33"/>
  <c r="R17" i="48"/>
  <c r="R102" i="48" s="1"/>
  <c r="R103" i="48" l="1"/>
  <c r="R6" i="48"/>
  <c r="G13" i="46"/>
  <c r="G81" i="49"/>
  <c r="H69" i="49"/>
</calcChain>
</file>

<file path=xl/sharedStrings.xml><?xml version="1.0" encoding="utf-8"?>
<sst xmlns="http://schemas.openxmlformats.org/spreadsheetml/2006/main" count="3622" uniqueCount="916">
  <si>
    <t>SENDING DISTRICT</t>
  </si>
  <si>
    <t xml:space="preserve"> </t>
  </si>
  <si>
    <t>BERLIN</t>
  </si>
  <si>
    <t>GORHAM</t>
  </si>
  <si>
    <t>BRADFORD, VT</t>
  </si>
  <si>
    <t>HAVERHILL COOP</t>
  </si>
  <si>
    <t>CLAREMONT</t>
  </si>
  <si>
    <t>FALL MOUNTAIN</t>
  </si>
  <si>
    <t>NEWPORT</t>
  </si>
  <si>
    <t>SUNAPEE</t>
  </si>
  <si>
    <t>CONCORD</t>
  </si>
  <si>
    <t>HILLSBORO</t>
  </si>
  <si>
    <t>HOPKINTON</t>
  </si>
  <si>
    <t>PITTSFIELD</t>
  </si>
  <si>
    <t>SALEM</t>
  </si>
  <si>
    <t>TIMBERLANE</t>
  </si>
  <si>
    <t>DOVER</t>
  </si>
  <si>
    <t>FARMINGTON</t>
  </si>
  <si>
    <t>OYSTER RIVER</t>
  </si>
  <si>
    <t>MILTON</t>
  </si>
  <si>
    <t>NEWMARKET</t>
  </si>
  <si>
    <t>WINNACUNNET</t>
  </si>
  <si>
    <t>EPPING</t>
  </si>
  <si>
    <t>RAYMOND</t>
  </si>
  <si>
    <t>HARTFORD, VT</t>
  </si>
  <si>
    <t>DRESDEN</t>
  </si>
  <si>
    <t>LEBANON</t>
  </si>
  <si>
    <t>MASCOMA VALLEY</t>
  </si>
  <si>
    <t>HUDSON</t>
  </si>
  <si>
    <t>LONDONDERRY</t>
  </si>
  <si>
    <t>MERRIMACK</t>
  </si>
  <si>
    <t>MILFORD</t>
  </si>
  <si>
    <t>NASHUA</t>
  </si>
  <si>
    <t>PELHAM</t>
  </si>
  <si>
    <t>HINSDALE</t>
  </si>
  <si>
    <t>MONADNOCK</t>
  </si>
  <si>
    <t>FRANKLIN</t>
  </si>
  <si>
    <t>GILFORD</t>
  </si>
  <si>
    <t>INTERLAKES</t>
  </si>
  <si>
    <t>WINNISQUAM</t>
  </si>
  <si>
    <t>LITTLETON</t>
  </si>
  <si>
    <t>PROFILE</t>
  </si>
  <si>
    <t>LISBON</t>
  </si>
  <si>
    <t>NORTHUMBERLAND</t>
  </si>
  <si>
    <t>WHITEFIELD</t>
  </si>
  <si>
    <t>MANCHESTER</t>
  </si>
  <si>
    <t>GOFFSTOWN</t>
  </si>
  <si>
    <t>PEMI-BAKER</t>
  </si>
  <si>
    <t>NEWFOUND AREA</t>
  </si>
  <si>
    <t>MOULTONBORO</t>
  </si>
  <si>
    <t>SOUHEGAN</t>
  </si>
  <si>
    <t>BOW</t>
  </si>
  <si>
    <t>LYME</t>
  </si>
  <si>
    <t>WILTON-LYNDEBORO</t>
  </si>
  <si>
    <t>total</t>
  </si>
  <si>
    <t>SPRINGFIELD, VT</t>
  </si>
  <si>
    <t>GRAND TOTALS</t>
  </si>
  <si>
    <t xml:space="preserve">  </t>
  </si>
  <si>
    <t>WINDHAM</t>
  </si>
  <si>
    <t>LITCHFIELD</t>
  </si>
  <si>
    <t>TRANS
2ND SEM</t>
  </si>
  <si>
    <t>TRANS
1ST SEM</t>
  </si>
  <si>
    <t>CANAAN, VT</t>
  </si>
  <si>
    <t>PITTSBURG</t>
  </si>
  <si>
    <t>Berlin</t>
  </si>
  <si>
    <t>Bradford</t>
  </si>
  <si>
    <t>Concord</t>
  </si>
  <si>
    <t>Claremont</t>
  </si>
  <si>
    <t>Littleton</t>
  </si>
  <si>
    <t>LinWood</t>
  </si>
  <si>
    <t>Profile</t>
  </si>
  <si>
    <t>Rivendell</t>
  </si>
  <si>
    <t>Rochester</t>
  </si>
  <si>
    <t>Salem</t>
  </si>
  <si>
    <t>Somersworth</t>
  </si>
  <si>
    <t>Pinkerton</t>
  </si>
  <si>
    <t>Dover</t>
  </si>
  <si>
    <t>Exeter</t>
  </si>
  <si>
    <t>Farmington</t>
  </si>
  <si>
    <t>Franklin</t>
  </si>
  <si>
    <t>Goffstown</t>
  </si>
  <si>
    <t>Northumberland</t>
  </si>
  <si>
    <t>Hudson</t>
  </si>
  <si>
    <t>Interlakes</t>
  </si>
  <si>
    <t>Winnacunnet</t>
  </si>
  <si>
    <t>Winnisquam</t>
  </si>
  <si>
    <t>Wolfeboro</t>
  </si>
  <si>
    <t>Lebanon</t>
  </si>
  <si>
    <t>Lyme</t>
  </si>
  <si>
    <t>Dresden</t>
  </si>
  <si>
    <t>Hollis-Brookline</t>
  </si>
  <si>
    <t>Sanborn</t>
  </si>
  <si>
    <t>Litchfield</t>
  </si>
  <si>
    <t>Manchester</t>
  </si>
  <si>
    <t>Merrimack</t>
  </si>
  <si>
    <t>Milford</t>
  </si>
  <si>
    <t>Newfound</t>
  </si>
  <si>
    <t>Gorham</t>
  </si>
  <si>
    <t>Warren</t>
  </si>
  <si>
    <t>Pittsburg</t>
  </si>
  <si>
    <t>Pittsfield</t>
  </si>
  <si>
    <t>Kearsarge</t>
  </si>
  <si>
    <t>Newport</t>
  </si>
  <si>
    <t>Hillsboro-Deering</t>
  </si>
  <si>
    <t>Hopkinton</t>
  </si>
  <si>
    <t>Sunapee</t>
  </si>
  <si>
    <t>John Stark</t>
  </si>
  <si>
    <t>Bow</t>
  </si>
  <si>
    <t>Pelham</t>
  </si>
  <si>
    <t>Timberlane</t>
  </si>
  <si>
    <t>Milton</t>
  </si>
  <si>
    <t>Oyster River</t>
  </si>
  <si>
    <t>Windham</t>
  </si>
  <si>
    <t>Epping</t>
  </si>
  <si>
    <t>Newmarket</t>
  </si>
  <si>
    <t>Raymond</t>
  </si>
  <si>
    <t>Mascoma Valley</t>
  </si>
  <si>
    <t>Londonderry</t>
  </si>
  <si>
    <t>Nashua</t>
  </si>
  <si>
    <t>Souhegan</t>
  </si>
  <si>
    <t>Fall Mtn.</t>
  </si>
  <si>
    <t>Monadnock</t>
  </si>
  <si>
    <t>Winchester</t>
  </si>
  <si>
    <t>Shaker Regional</t>
  </si>
  <si>
    <t>Gilford</t>
  </si>
  <si>
    <t>Lisbon</t>
  </si>
  <si>
    <t>Whitefield</t>
  </si>
  <si>
    <t>ConVal</t>
  </si>
  <si>
    <t>Jaffrey-Rindge</t>
  </si>
  <si>
    <t>Wilton-Lyndeboro</t>
  </si>
  <si>
    <t>Mascenic</t>
  </si>
  <si>
    <t>Moultonboro</t>
  </si>
  <si>
    <t>Keene</t>
  </si>
  <si>
    <t>Laconia</t>
  </si>
  <si>
    <t>Pemi-Baker</t>
  </si>
  <si>
    <t>Canaan,VT</t>
  </si>
  <si>
    <t>Springfield,VT</t>
  </si>
  <si>
    <t>Hartford, VT</t>
  </si>
  <si>
    <t>KEENE</t>
  </si>
  <si>
    <t>TRANSPORTATION</t>
  </si>
  <si>
    <t>BRATTLEBORO, VT</t>
  </si>
  <si>
    <t>SOMERSWORTH</t>
  </si>
  <si>
    <t>Piermont</t>
  </si>
  <si>
    <t>Bath</t>
  </si>
  <si>
    <t>Hinsdale</t>
  </si>
  <si>
    <t>Brattleboro</t>
  </si>
  <si>
    <t>Haverhill Coop</t>
  </si>
  <si>
    <t>Peterboro</t>
  </si>
  <si>
    <t>Haverhill, MA</t>
  </si>
  <si>
    <t>LINCOLN WOODSTOCK</t>
  </si>
  <si>
    <t>NORTHWOOD</t>
  </si>
  <si>
    <t>HAVERHILL, MA</t>
  </si>
  <si>
    <t>BEDFORD</t>
  </si>
  <si>
    <t>LACONIA</t>
  </si>
  <si>
    <t>Stewartstown</t>
  </si>
  <si>
    <t>Bedford</t>
  </si>
  <si>
    <t>Jaffrey</t>
  </si>
  <si>
    <t>Prospect Mtn.</t>
  </si>
  <si>
    <t>Greenville</t>
  </si>
  <si>
    <t>Merrimack Valley</t>
  </si>
  <si>
    <t>CON-VAL</t>
  </si>
  <si>
    <t>MASCENIC</t>
  </si>
  <si>
    <t>SANBORN REG</t>
  </si>
  <si>
    <t>BATH</t>
  </si>
  <si>
    <t>PIERMONT</t>
  </si>
  <si>
    <t>WARREN</t>
  </si>
  <si>
    <t>Benton</t>
  </si>
  <si>
    <t>Tuition</t>
  </si>
  <si>
    <t>BENTON</t>
  </si>
  <si>
    <t xml:space="preserve">Winchester ( AG78), </t>
  </si>
  <si>
    <t xml:space="preserve">Stewartstown (AG71) </t>
  </si>
  <si>
    <t>Greenville (AG20)</t>
  </si>
  <si>
    <t xml:space="preserve">NO LINKS FOR </t>
  </si>
  <si>
    <t>White River Jct</t>
  </si>
  <si>
    <t>Northwood</t>
  </si>
  <si>
    <t>B001</t>
  </si>
  <si>
    <t>B002</t>
  </si>
  <si>
    <t>B005</t>
  </si>
  <si>
    <t>B003</t>
  </si>
  <si>
    <t>B009</t>
  </si>
  <si>
    <t>B004</t>
  </si>
  <si>
    <t>(Arthur Paradice)</t>
  </si>
  <si>
    <t>WU#</t>
  </si>
  <si>
    <t>Voucher#</t>
  </si>
  <si>
    <t>Vendor #</t>
  </si>
  <si>
    <t>Vendor Name</t>
  </si>
  <si>
    <t>Invoice#</t>
  </si>
  <si>
    <t>Description</t>
  </si>
  <si>
    <t>Total Amt</t>
  </si>
  <si>
    <t>RSA 188:E</t>
  </si>
  <si>
    <t>EXETER REGIONAL COOP</t>
  </si>
  <si>
    <t>JAFFREY</t>
  </si>
  <si>
    <t>KEARSARGE</t>
  </si>
  <si>
    <t>LINCOLN</t>
  </si>
  <si>
    <t>MERRIMACK-VALLEY</t>
  </si>
  <si>
    <t>MONADNOCK REGIONAL</t>
  </si>
  <si>
    <t>PINKERTON ACADEMY</t>
  </si>
  <si>
    <t>PROSPECT MTN</t>
  </si>
  <si>
    <t>SHAKER REGIONAL</t>
  </si>
  <si>
    <t>JOHN STARK REG</t>
  </si>
  <si>
    <t>WHITE MTN REGIONAL</t>
  </si>
  <si>
    <t>GOVERNOR WENTWORTH</t>
  </si>
  <si>
    <t>Grand Total</t>
  </si>
  <si>
    <t>Date:</t>
  </si>
  <si>
    <t>Combined Total</t>
  </si>
  <si>
    <t>(Windham RCC)</t>
  </si>
  <si>
    <t>New Boston</t>
  </si>
  <si>
    <t>COLEBROOK</t>
  </si>
  <si>
    <t>CONCORD         SAU 8</t>
  </si>
  <si>
    <t>KEENE          SAU 29</t>
  </si>
  <si>
    <t>LACONIA     SAU 30</t>
  </si>
  <si>
    <t>SAU 87</t>
  </si>
  <si>
    <t>MILFORD  SAU 40</t>
  </si>
  <si>
    <t>NEWPORT   SAU 43</t>
  </si>
  <si>
    <t>ROCHESTER   SAU 54</t>
  </si>
  <si>
    <t>SALEM       SAU 57</t>
  </si>
  <si>
    <t xml:space="preserve">River Valley </t>
  </si>
  <si>
    <t>SAU 59</t>
  </si>
  <si>
    <t>RIVENDELL INTERSTATE</t>
  </si>
  <si>
    <t xml:space="preserve"> B001</t>
  </si>
  <si>
    <t>S HAMPTON</t>
  </si>
  <si>
    <t xml:space="preserve">T&amp;T RSA 188:E </t>
  </si>
  <si>
    <t xml:space="preserve">Transport RSA 188:E </t>
  </si>
  <si>
    <t>Tuition RSA 188:E</t>
  </si>
  <si>
    <t>RSA 188:E T&amp;T</t>
  </si>
  <si>
    <t>Trans to Berlin RSA 188:E</t>
  </si>
  <si>
    <t>RSA 188:E T&amp; to VT</t>
  </si>
  <si>
    <t xml:space="preserve">T&amp;T to VT RSA 188:E </t>
  </si>
  <si>
    <t xml:space="preserve">RSA 188:E T&amp;T </t>
  </si>
  <si>
    <t>Transp RSA 188:E</t>
  </si>
  <si>
    <t>RSA 188:E Tuition</t>
  </si>
  <si>
    <t>RSA 188:E T&amp;T CTE /Alt Ed</t>
  </si>
  <si>
    <t>RSA 188:E T&amp;T CTE &amp; Alt Ed</t>
  </si>
  <si>
    <t xml:space="preserve">Tuition to VT RSA 188:E </t>
  </si>
  <si>
    <t>Colebrook</t>
  </si>
  <si>
    <t>South Hampton</t>
  </si>
  <si>
    <t>Trans</t>
  </si>
  <si>
    <t>HOLLIS-BROOKLINE COOP</t>
  </si>
  <si>
    <t>CITY OF ROCHESTER</t>
  </si>
  <si>
    <t>ck--&gt;</t>
  </si>
  <si>
    <t xml:space="preserve"> RSA 188:E T&amp;T</t>
  </si>
  <si>
    <t>SAU 20</t>
  </si>
  <si>
    <t>SAU 23</t>
  </si>
  <si>
    <t>SAU 76</t>
  </si>
  <si>
    <t>SAU 78</t>
  </si>
  <si>
    <t>SAU 92</t>
  </si>
  <si>
    <t>SAU 29</t>
  </si>
  <si>
    <t>SAU 7</t>
  </si>
  <si>
    <t>SAU 85</t>
  </si>
  <si>
    <t>SAU 67</t>
  </si>
  <si>
    <t>SAU 34</t>
  </si>
  <si>
    <t>SAU 66</t>
  </si>
  <si>
    <t>SAU 24</t>
  </si>
  <si>
    <t>SAU 65</t>
  </si>
  <si>
    <t>SAU 46</t>
  </si>
  <si>
    <t>SAU 53</t>
  </si>
  <si>
    <t>SAU 51</t>
  </si>
  <si>
    <t>SAU 202</t>
  </si>
  <si>
    <t>SAU 28</t>
  </si>
  <si>
    <t>SAU 11</t>
  </si>
  <si>
    <t>SAU 61</t>
  </si>
  <si>
    <t>SAU 64</t>
  </si>
  <si>
    <t>SAU 21</t>
  </si>
  <si>
    <t>SAU 54</t>
  </si>
  <si>
    <t>SAU 74</t>
  </si>
  <si>
    <t>SAU 14</t>
  </si>
  <si>
    <t>SAU 31</t>
  </si>
  <si>
    <t>SAU 19</t>
  </si>
  <si>
    <t>SAU 33</t>
  </si>
  <si>
    <t>PINKERTON</t>
  </si>
  <si>
    <t>SAU 62</t>
  </si>
  <si>
    <t>CANAAN, MASCOMA VLY</t>
  </si>
  <si>
    <t>SAU 70</t>
  </si>
  <si>
    <t>SAU 88</t>
  </si>
  <si>
    <t>SAU 81</t>
  </si>
  <si>
    <t>SAU 41</t>
  </si>
  <si>
    <t>SAU 27</t>
  </si>
  <si>
    <t>SAU 12</t>
  </si>
  <si>
    <t>SAU 26</t>
  </si>
  <si>
    <t>SAU 40</t>
  </si>
  <si>
    <t>SAU 47</t>
  </si>
  <si>
    <t>SAU 60</t>
  </si>
  <si>
    <t>LANGDON, FALL MTN</t>
  </si>
  <si>
    <t>SAU 30</t>
  </si>
  <si>
    <t>SAU 18</t>
  </si>
  <si>
    <t>SAU 73</t>
  </si>
  <si>
    <t>SAU 84</t>
  </si>
  <si>
    <t>SAU 68</t>
  </si>
  <si>
    <t>SAU 35</t>
  </si>
  <si>
    <t>SAU 25</t>
  </si>
  <si>
    <t>SAU 63</t>
  </si>
  <si>
    <t>SAU 1</t>
  </si>
  <si>
    <t>SAU 42</t>
  </si>
  <si>
    <t>SAU 43</t>
  </si>
  <si>
    <t>SAU 57</t>
  </si>
  <si>
    <t>SAU 56</t>
  </si>
  <si>
    <t>SAU 36</t>
  </si>
  <si>
    <t>SAU 301</t>
  </si>
  <si>
    <t>SAU 45</t>
  </si>
  <si>
    <t xml:space="preserve">Total # of Students
</t>
  </si>
  <si>
    <t>TOTAL CTE
TRANS</t>
  </si>
  <si>
    <t>BERLIN      SAU 3</t>
  </si>
  <si>
    <t xml:space="preserve">CLAREMONT SAU 6  </t>
  </si>
  <si>
    <t xml:space="preserve"> DOVER     SAU 11 </t>
  </si>
  <si>
    <t>EXETER     SAU 16</t>
  </si>
  <si>
    <t xml:space="preserve"> HUDSON   SAU 81 </t>
  </si>
  <si>
    <t xml:space="preserve">   </t>
  </si>
  <si>
    <t xml:space="preserve"> JAFFREY-RINDGE SAU 47 </t>
  </si>
  <si>
    <t xml:space="preserve">total </t>
  </si>
  <si>
    <t>LITTLETON   SAU 84</t>
  </si>
  <si>
    <t>MANCHESTER SAU 37</t>
  </si>
  <si>
    <t>MASCENIC   SAU 87</t>
  </si>
  <si>
    <t xml:space="preserve"> PINKERTON SAU 202</t>
  </si>
  <si>
    <t>PLYMOUTH/ # 48</t>
  </si>
  <si>
    <t>SOMERSWORTH SAU 56</t>
  </si>
  <si>
    <t>VERMONT</t>
  </si>
  <si>
    <t xml:space="preserve"> Riverbend  </t>
  </si>
  <si>
    <t>WHITEFIELD   SAU 36</t>
  </si>
  <si>
    <t>WINNISQUAM SAU 59</t>
  </si>
  <si>
    <t>WOLFEBORO SAU 49</t>
  </si>
  <si>
    <t>NASHUA       SAU 42</t>
  </si>
  <si>
    <t>Pembroke</t>
  </si>
  <si>
    <t>SAU 93</t>
  </si>
  <si>
    <t>SAU 95</t>
  </si>
  <si>
    <t xml:space="preserve">Differential </t>
  </si>
  <si>
    <t>Lin-Wood</t>
  </si>
  <si>
    <t>1st Sem
FULL</t>
  </si>
  <si>
    <t>1st Sem
2/3</t>
  </si>
  <si>
    <t>1st Sem
1/3</t>
  </si>
  <si>
    <t>2nd Sem
FULL</t>
  </si>
  <si>
    <t>2nd Sem
2/3</t>
  </si>
  <si>
    <t>2nd Sem
1/3</t>
  </si>
  <si>
    <t xml:space="preserve">JAFFREY-RINDGESAU 47 </t>
  </si>
  <si>
    <t>NO SWAP</t>
  </si>
  <si>
    <t xml:space="preserve">GORHAM              </t>
  </si>
  <si>
    <t xml:space="preserve">MONADNOCK   </t>
  </si>
  <si>
    <t xml:space="preserve">SUNAPEE            </t>
  </si>
  <si>
    <t xml:space="preserve">BOW                                   </t>
  </si>
  <si>
    <t xml:space="preserve">HILLSBORO-DEERING   </t>
  </si>
  <si>
    <t xml:space="preserve">HOPKINTON                     </t>
  </si>
  <si>
    <t xml:space="preserve">JOHN STARK (Weare)   </t>
  </si>
  <si>
    <t xml:space="preserve">KEARSARGE                       </t>
  </si>
  <si>
    <t xml:space="preserve">MERRIMACK VALLEY       </t>
  </si>
  <si>
    <t xml:space="preserve">PEMBROKE                        </t>
  </si>
  <si>
    <t xml:space="preserve">PITTSFIELD                         </t>
  </si>
  <si>
    <t>SAU 5</t>
  </si>
  <si>
    <t>SAU 52</t>
  </si>
  <si>
    <t xml:space="preserve">MILTON (Nute)     </t>
  </si>
  <si>
    <t xml:space="preserve">OYSTER RIVER        </t>
  </si>
  <si>
    <t xml:space="preserve">PORTSMOUTH      </t>
  </si>
  <si>
    <t xml:space="preserve">ROCHESTER       </t>
  </si>
  <si>
    <t xml:space="preserve">SOMERSWORTH </t>
  </si>
  <si>
    <t xml:space="preserve">WINNACUNNET    </t>
  </si>
  <si>
    <t>SAU 17</t>
  </si>
  <si>
    <t xml:space="preserve">WINNACUNNET  </t>
  </si>
  <si>
    <t xml:space="preserve">TIMBERLANE         </t>
  </si>
  <si>
    <t xml:space="preserve">SANBORN REG   </t>
  </si>
  <si>
    <t xml:space="preserve">RAYMOND          </t>
  </si>
  <si>
    <t xml:space="preserve">PITTSFIELD         </t>
  </si>
  <si>
    <t xml:space="preserve">PINKERTON ACADEMY  </t>
  </si>
  <si>
    <t xml:space="preserve">NEWMARKET  </t>
  </si>
  <si>
    <t xml:space="preserve">FARMINGTON       </t>
  </si>
  <si>
    <t xml:space="preserve">EPPING              </t>
  </si>
  <si>
    <t xml:space="preserve">DOVER           </t>
  </si>
  <si>
    <t xml:space="preserve">CONCORD      </t>
  </si>
  <si>
    <t xml:space="preserve">PINKERTON        </t>
  </si>
  <si>
    <t xml:space="preserve">PELHAM                     </t>
  </si>
  <si>
    <t xml:space="preserve">NASHUA            </t>
  </si>
  <si>
    <t xml:space="preserve">MILFORD         </t>
  </si>
  <si>
    <t xml:space="preserve">MERRIMACK                 </t>
  </si>
  <si>
    <t xml:space="preserve">LONDONDERRY          </t>
  </si>
  <si>
    <t xml:space="preserve">HOLLIS-BROOKLINE  </t>
  </si>
  <si>
    <r>
      <rPr>
        <sz val="10"/>
        <color theme="1"/>
        <rFont val="Calibri"/>
        <family val="2"/>
        <scheme val="minor"/>
      </rPr>
      <t xml:space="preserve">LANGDON, </t>
    </r>
    <r>
      <rPr>
        <sz val="10"/>
        <rFont val="Arial"/>
        <family val="2"/>
      </rPr>
      <t>FALL MTN</t>
    </r>
  </si>
  <si>
    <t>SAU 2</t>
  </si>
  <si>
    <t>SAU 80</t>
  </si>
  <si>
    <t xml:space="preserve">WINNISQUAM </t>
  </si>
  <si>
    <t>SHAKER REG  (BEMLONT)</t>
  </si>
  <si>
    <t xml:space="preserve">INTERLAKES   </t>
  </si>
  <si>
    <t xml:space="preserve">GILFORD         </t>
  </si>
  <si>
    <t xml:space="preserve">FRANKLIN      </t>
  </si>
  <si>
    <t>SAU 58</t>
  </si>
  <si>
    <t xml:space="preserve">WHITEFIELD    </t>
  </si>
  <si>
    <t xml:space="preserve">PROFILE        </t>
  </si>
  <si>
    <t>NORTHUMBERLAND (GROVETON)</t>
  </si>
  <si>
    <t xml:space="preserve">LISBON         </t>
  </si>
  <si>
    <t>SAU 39</t>
  </si>
  <si>
    <t xml:space="preserve">SOUGEGAN COOP  </t>
  </si>
  <si>
    <t xml:space="preserve">PINKERTON  </t>
  </si>
  <si>
    <t xml:space="preserve">GOFFSTOWN            </t>
  </si>
  <si>
    <t xml:space="preserve">BEDFORD       </t>
  </si>
  <si>
    <t xml:space="preserve">WILTON-LYNDEBORO   </t>
  </si>
  <si>
    <t xml:space="preserve">SOUGEGAN COOP   </t>
  </si>
  <si>
    <t xml:space="preserve">MILFORD      </t>
  </si>
  <si>
    <t xml:space="preserve">HOLLIS-BROOKLINE </t>
  </si>
  <si>
    <t xml:space="preserve">TIMBERLANE                   </t>
  </si>
  <si>
    <t xml:space="preserve">HOLLIS-BROOKLINE    </t>
  </si>
  <si>
    <t xml:space="preserve">MASCENIC   </t>
  </si>
  <si>
    <t xml:space="preserve">SOUHEGAN   </t>
  </si>
  <si>
    <t xml:space="preserve">SAU 40 </t>
  </si>
  <si>
    <t xml:space="preserve">MILFORD       </t>
  </si>
  <si>
    <t xml:space="preserve">MERRIMACK            </t>
  </si>
  <si>
    <t xml:space="preserve">LITCHFIELD (CAMPBELL)  </t>
  </si>
  <si>
    <t xml:space="preserve">HUDSON       </t>
  </si>
  <si>
    <t>SAU 6</t>
  </si>
  <si>
    <t>KEARSARGE (Sutton)</t>
  </si>
  <si>
    <t xml:space="preserve">SUNAPEE     </t>
  </si>
  <si>
    <t xml:space="preserve">PELHAM          </t>
  </si>
  <si>
    <t xml:space="preserve">SALEM            </t>
  </si>
  <si>
    <t xml:space="preserve">TIMBERLANE   </t>
  </si>
  <si>
    <t xml:space="preserve">WINDHAM         </t>
  </si>
  <si>
    <t>SAU 4</t>
  </si>
  <si>
    <t xml:space="preserve">NEWFOUND   </t>
  </si>
  <si>
    <t xml:space="preserve">DOVER               </t>
  </si>
  <si>
    <t xml:space="preserve">MILTON (NUTE)     </t>
  </si>
  <si>
    <t xml:space="preserve">OYSTER RIVER  </t>
  </si>
  <si>
    <t xml:space="preserve">WINDHAM        </t>
  </si>
  <si>
    <t xml:space="preserve">WARREN                </t>
  </si>
  <si>
    <t xml:space="preserve">PIERMONT               </t>
  </si>
  <si>
    <t xml:space="preserve">HAVERHILL COOP  </t>
  </si>
  <si>
    <t xml:space="preserve">BATH                       </t>
  </si>
  <si>
    <t xml:space="preserve">HINSDALE            </t>
  </si>
  <si>
    <t xml:space="preserve">KEENE                   </t>
  </si>
  <si>
    <t xml:space="preserve">DRESDEN         </t>
  </si>
  <si>
    <t xml:space="preserve">LYME                </t>
  </si>
  <si>
    <t xml:space="preserve">PIERMONT         </t>
  </si>
  <si>
    <t xml:space="preserve">Rivendell Interstate    </t>
  </si>
  <si>
    <t xml:space="preserve">S Hampton       </t>
  </si>
  <si>
    <t xml:space="preserve">HAVERHILL COOP </t>
  </si>
  <si>
    <t xml:space="preserve">COLEBROOK  </t>
  </si>
  <si>
    <t xml:space="preserve">LINCOLN WOODSTOCK  </t>
  </si>
  <si>
    <t xml:space="preserve">LISBON          </t>
  </si>
  <si>
    <t xml:space="preserve">LITTLETON     </t>
  </si>
  <si>
    <t xml:space="preserve">PROFILE         </t>
  </si>
  <si>
    <t>BELMONT</t>
  </si>
  <si>
    <t xml:space="preserve">INTERLAKES  </t>
  </si>
  <si>
    <t xml:space="preserve">LACONIA        </t>
  </si>
  <si>
    <t xml:space="preserve">MERRIMACK VALLEY  </t>
  </si>
  <si>
    <t xml:space="preserve">FARMINGTON            </t>
  </si>
  <si>
    <t xml:space="preserve">MOULTONBOROUGH    </t>
  </si>
  <si>
    <t xml:space="preserve">PROSPECT MTN         </t>
  </si>
  <si>
    <t>Differential Charges by Receiving District</t>
  </si>
  <si>
    <t>RECEIVING DISTRICT         Sending District</t>
  </si>
  <si>
    <t>Differential/ Student/half year</t>
  </si>
  <si>
    <t>CPP Prior sch. yr.</t>
  </si>
  <si>
    <t xml:space="preserve">State 75% </t>
  </si>
  <si>
    <t>State 75%</t>
  </si>
  <si>
    <t>3% max</t>
  </si>
  <si>
    <t>Full Year</t>
  </si>
  <si>
    <t>1/2 year</t>
  </si>
  <si>
    <t>Groveton</t>
  </si>
  <si>
    <t xml:space="preserve">  Littleton</t>
  </si>
  <si>
    <t>Grand Total Differential:</t>
  </si>
  <si>
    <t>DERRY (Charter school student)</t>
  </si>
  <si>
    <t>SAU 10</t>
  </si>
  <si>
    <t>LONDONERRY</t>
  </si>
  <si>
    <t>LITCHFIELD (NASHUA)</t>
  </si>
  <si>
    <t>ALT-ED (inc in Tuition Calculation)</t>
  </si>
  <si>
    <t>ALT-ED (NOT inc in Tuition Calculation)</t>
  </si>
  <si>
    <t>Grant Total CTE &amp; ALT-ED</t>
  </si>
  <si>
    <t>APPROPRIATION</t>
  </si>
  <si>
    <t>AVAILABLE FOR PAYMENT</t>
  </si>
  <si>
    <t>LESS TRANSPORTATION</t>
  </si>
  <si>
    <t>LESS DIFFERENTIAL</t>
  </si>
  <si>
    <t>fyi max Alt-Ed at 5%</t>
  </si>
  <si>
    <t>AVAILABLE FOR PER STUDENT TUITION</t>
  </si>
  <si>
    <t>PER STUDENT CHARGE</t>
  </si>
  <si>
    <t>Northwood (Coe Brown)</t>
  </si>
  <si>
    <t>TRANS TOTAL BY CENTER</t>
  </si>
  <si>
    <t>Remit 
Code</t>
  </si>
  <si>
    <t>Alt Ed 
Tuition</t>
  </si>
  <si>
    <t>Alt Ed 
Trans</t>
  </si>
  <si>
    <t>LESS ALT-ED</t>
  </si>
  <si>
    <t>Tuition Payment</t>
  </si>
  <si>
    <t>Total Tuition per District</t>
  </si>
  <si>
    <t>TOTAL TUITION</t>
  </si>
  <si>
    <t>TOTAL TRANSP</t>
  </si>
  <si>
    <t>DIFFERENTIAL</t>
  </si>
  <si>
    <t>1ST SEM</t>
  </si>
  <si>
    <t>2ND SEM</t>
  </si>
  <si>
    <t>TUITION</t>
  </si>
  <si>
    <t>PINKERTON
ALT-ED</t>
  </si>
  <si>
    <t>Laconia 
Alt-Ed</t>
  </si>
  <si>
    <t>Litchfield
Alt-Ed</t>
  </si>
  <si>
    <t>Londonderry
Alt-Ed</t>
  </si>
  <si>
    <t>*Find Cost Per Pupil on DOE website - Data Collecitons &amp; Reports/Financial Reports</t>
  </si>
  <si>
    <t>Budget
FULL</t>
  </si>
  <si>
    <t xml:space="preserve">MILTON (NUTE)               </t>
  </si>
  <si>
    <t>PORTSMOUTH</t>
  </si>
  <si>
    <t xml:space="preserve">CAMPBELL (LITCHFIELD)                  </t>
  </si>
  <si>
    <t>MONROE</t>
  </si>
  <si>
    <t xml:space="preserve">RIVENDELL INTERSTATE      </t>
  </si>
  <si>
    <t xml:space="preserve">COE-BROWN </t>
  </si>
  <si>
    <t xml:space="preserve">LEBANON (comb. HS &amp; Ledyard Charter)          </t>
  </si>
  <si>
    <t>Portsmouth</t>
  </si>
  <si>
    <t>SAU 37</t>
  </si>
  <si>
    <t>SAU 77</t>
  </si>
  <si>
    <t>B006</t>
  </si>
  <si>
    <t>LITCHFIELD (CAMPBELL)  Nightschool</t>
  </si>
  <si>
    <t>LITCHFIELD SUMMER SCHOOL</t>
  </si>
  <si>
    <t>***Pay Litchfield***</t>
  </si>
  <si>
    <t xml:space="preserve">PINKERTON </t>
  </si>
  <si>
    <t xml:space="preserve">LEBANON </t>
  </si>
  <si>
    <t>Langdon (Fall Mtn)</t>
  </si>
  <si>
    <t>Langdon 
(Fall Mtn)</t>
  </si>
  <si>
    <t>Signature 1st Half</t>
  </si>
  <si>
    <t>Signature 2nd Half</t>
  </si>
  <si>
    <t>1st Half Signature</t>
  </si>
  <si>
    <t>2nd Half Signature</t>
  </si>
  <si>
    <t>BREAKOUT FOR TUITION CALCULATION:</t>
  </si>
  <si>
    <t>GRAND TOTALS - CTE</t>
  </si>
  <si>
    <t>ALT ED INCLUDED IN CALCULATION:</t>
  </si>
  <si>
    <t>CONVAL</t>
  </si>
  <si>
    <t>Concord Tuition &amp; Transportation Reimbursement Breakdown</t>
  </si>
  <si>
    <t>Tuition Payment:</t>
  </si>
  <si>
    <t>Total Students</t>
  </si>
  <si>
    <t xml:space="preserve">Tuition </t>
  </si>
  <si>
    <t>(Average #)</t>
  </si>
  <si>
    <t>Reimbursement</t>
  </si>
  <si>
    <t>TUITION TOTAL</t>
  </si>
  <si>
    <t>Differential Payment:</t>
  </si>
  <si>
    <t xml:space="preserve"># of Students </t>
  </si>
  <si>
    <t>Total 
Differential</t>
  </si>
  <si>
    <t>DIFFERENTIAL TOTAL</t>
  </si>
  <si>
    <t>Transportation Payment:</t>
  </si>
  <si>
    <t>Summary:</t>
  </si>
  <si>
    <t>Differential</t>
  </si>
  <si>
    <t>Transportation</t>
  </si>
  <si>
    <t>TOTAL REIMBURSEMENT</t>
  </si>
  <si>
    <t>Berlin Tuition &amp; Transportation Reimbursement Breakdown</t>
  </si>
  <si>
    <t>Claremont Tuition &amp; Transportation Reimbursement Breakdown</t>
  </si>
  <si>
    <t>JOHN STARK (Weare)</t>
  </si>
  <si>
    <t>Conval Tuition &amp; Transportation Reimbursement Breakdown</t>
  </si>
  <si>
    <t>double check TT entry:</t>
  </si>
  <si>
    <t>double check Payment:</t>
  </si>
  <si>
    <t>double check Differential:</t>
  </si>
  <si>
    <t>Exeter Tuition &amp; Transportation Reimbursement Breakdown</t>
  </si>
  <si>
    <t>Dover Tuition &amp; Transportation Reimbursement Breakdown</t>
  </si>
  <si>
    <t>Hudson Tuition &amp; Transportation Reimbursement Breakdown</t>
  </si>
  <si>
    <t>SOUGEGAN</t>
  </si>
  <si>
    <t>Jaffrey-Rindge SAU 47 (Conant) Tuition &amp; Transportation Reimbursement Breakdown</t>
  </si>
  <si>
    <t>Keene Tuition &amp; Transportation Reimbursement Breakdown</t>
  </si>
  <si>
    <t>Fall Mountain Tuition &amp; Transportation Reimbursement Breakdown</t>
  </si>
  <si>
    <t>Laconia Tuition &amp; Transportation Reimbursement Breakdown</t>
  </si>
  <si>
    <t>Alt-Ed Tuition Payment:</t>
  </si>
  <si>
    <t>CTE Tuition Payment:</t>
  </si>
  <si>
    <t>ALT-ED Tuition Payment:</t>
  </si>
  <si>
    <t>CTE Transportation Payment:</t>
  </si>
  <si>
    <t>Alt-Ed Transportation Payment:</t>
  </si>
  <si>
    <t>CTE Tuition</t>
  </si>
  <si>
    <t>Alt-Ed Tuition</t>
  </si>
  <si>
    <t>Littleton Tuition &amp; Transportation Reimbursement Breakdown</t>
  </si>
  <si>
    <t>Manchester Tuition &amp; Transportation Reimbursement Breakdown</t>
  </si>
  <si>
    <t>Mascenic Tuition &amp; Transportation Reimbursement Breakdown</t>
  </si>
  <si>
    <t>Milford Tuition &amp; Transportation Reimbursement Breakdown</t>
  </si>
  <si>
    <t>Nashua Tuition &amp; Transportation Reimbursement Breakdown</t>
  </si>
  <si>
    <t>TRANSPORTATION TOTAL</t>
  </si>
  <si>
    <t>Newport Tuition &amp; Transportation Reimbursement Breakdown</t>
  </si>
  <si>
    <t>Pinkerton Academy Tuition &amp; Transportation Reimbursement Breakdown</t>
  </si>
  <si>
    <t>Plymouth Tuition &amp; Transportation Reimbursement Breakdown</t>
  </si>
  <si>
    <t>NEWFOUND</t>
  </si>
  <si>
    <t>Rochester Tuition &amp; Transportation Reimbursement Breakdown</t>
  </si>
  <si>
    <t>Salem Tuition &amp; Transportation Reimbursement Breakdown</t>
  </si>
  <si>
    <t>Somersworth Tuition &amp; Transportation Reimbursement Breakdown</t>
  </si>
  <si>
    <t>Whitefield Tuition &amp; Transportation Reimbursement Breakdown</t>
  </si>
  <si>
    <t>Winnisquam Tuition &amp; Transportation Reimbursement Breakdown</t>
  </si>
  <si>
    <t>Wolfeboro Tuition &amp; Transportation Reimbursement Breakdown</t>
  </si>
  <si>
    <t>Lyme Tuition &amp; Transportation Reimbursement Breakdown</t>
  </si>
  <si>
    <t>Delete all $0.00 entrries before sending to OBM - save as copy so that original formulas will be saved</t>
  </si>
  <si>
    <t>dkaminski@sau23.org</t>
  </si>
  <si>
    <t>SAU 23 - Dory Kaminski, Finance Clerk</t>
  </si>
  <si>
    <t>787-2113 x121</t>
  </si>
  <si>
    <t>225-0811</t>
  </si>
  <si>
    <t>Mary Patry</t>
  </si>
  <si>
    <t>mpatry@govwentworth.k12.nh.us</t>
  </si>
  <si>
    <t>569-1658</t>
  </si>
  <si>
    <t>Penny Davies</t>
  </si>
  <si>
    <t>pdavies@sau29.org</t>
  </si>
  <si>
    <t>357-9008 x200</t>
  </si>
  <si>
    <t>Ernest Kilman</t>
  </si>
  <si>
    <t>ekilman@mansd.org</t>
  </si>
  <si>
    <t>624-6300 x159</t>
  </si>
  <si>
    <t xml:space="preserve">CONVAL </t>
  </si>
  <si>
    <t xml:space="preserve">LEBANON       </t>
  </si>
  <si>
    <t>ROLLINSFORD, MAINE</t>
  </si>
  <si>
    <t>ROLLINSFORD</t>
  </si>
  <si>
    <t>COE-BROWN (charter sch - northwood sch district)</t>
  </si>
  <si>
    <t>Rollinsford</t>
  </si>
  <si>
    <t>R001</t>
  </si>
  <si>
    <t xml:space="preserve">CONVAL          </t>
  </si>
  <si>
    <t xml:space="preserve">  Groveton</t>
  </si>
  <si>
    <t xml:space="preserve">  Lin-Wood</t>
  </si>
  <si>
    <t xml:space="preserve">  Lisbon</t>
  </si>
  <si>
    <t>TUITION REQUESTED PER STUDENT</t>
  </si>
  <si>
    <t>Rollinsford - Pay to Somersworth</t>
  </si>
  <si>
    <t>JAFFREY-RINDGESAU 47</t>
  </si>
  <si>
    <t xml:space="preserve">NEWPORT </t>
  </si>
  <si>
    <t xml:space="preserve">*Note: Per student reimbursement = </t>
  </si>
  <si>
    <t>CONVAL  SAU 1</t>
  </si>
  <si>
    <t>JAFFREY-RINDGE</t>
  </si>
  <si>
    <t>SAU 8</t>
  </si>
  <si>
    <t>Columbia</t>
  </si>
  <si>
    <t>COLUMBIA</t>
  </si>
  <si>
    <t>EXETER</t>
  </si>
  <si>
    <t>SHAKER REG (BELMONT)</t>
  </si>
  <si>
    <t>CANDIA (Charter school student)</t>
  </si>
  <si>
    <t>AUBURN (Charter school student)</t>
  </si>
  <si>
    <t xml:space="preserve">LACONIA  (Granite Hill School)   </t>
  </si>
  <si>
    <t>Candia school district</t>
  </si>
  <si>
    <t>Full Year Tuition</t>
  </si>
  <si>
    <t>75% of AV-1 Tuition</t>
  </si>
  <si>
    <t>Total 
Students</t>
  </si>
  <si>
    <t>Full Tuition 
Request</t>
  </si>
  <si>
    <t>TOTAL</t>
  </si>
  <si>
    <t>Tuition per 1/2 on AV-1</t>
  </si>
  <si>
    <t>For budget estimate to fully fund T&amp;T</t>
  </si>
  <si>
    <t>SAU54</t>
  </si>
  <si>
    <t>Verify formulas are calculating correctly</t>
  </si>
  <si>
    <t>Verify transportation</t>
  </si>
  <si>
    <t>Enter/verify Differential</t>
  </si>
  <si>
    <t>Verify Payment worksheet is correct</t>
  </si>
  <si>
    <t>Copy and ready worksheet for OBM</t>
  </si>
  <si>
    <t>Prep notifications</t>
  </si>
  <si>
    <t>T&amp;T Payment Checklist</t>
  </si>
  <si>
    <t>Date Completed</t>
  </si>
  <si>
    <t>Alt-Ed</t>
  </si>
  <si>
    <t>difference:</t>
  </si>
  <si>
    <t>SHAKER REG  (BELMONT)</t>
  </si>
  <si>
    <t>Verify Alt-Ed</t>
  </si>
  <si>
    <t>Total</t>
  </si>
  <si>
    <t>Tuition Payment 
(if part of formula)</t>
  </si>
  <si>
    <t>Maximum Allowed</t>
  </si>
  <si>
    <t>Requested</t>
  </si>
  <si>
    <t>Max Allowed</t>
  </si>
  <si>
    <t xml:space="preserve">  Profile</t>
  </si>
  <si>
    <t>REDUCTION / INCREASE</t>
  </si>
  <si>
    <t>Pull AV-1's/Alt-1's and verify that data was entered correctly</t>
  </si>
  <si>
    <t>Differential/
Student/Half</t>
  </si>
  <si>
    <t>*added penny due to rounding</t>
  </si>
  <si>
    <t>LITCHFIELD (CAMPBELL)</t>
  </si>
  <si>
    <t>ROCHESTER</t>
  </si>
  <si>
    <t>*subtracted penny due to rounding</t>
  </si>
  <si>
    <t>HOLLIS-BROOKLINE</t>
  </si>
  <si>
    <t>SUNAPPE</t>
  </si>
  <si>
    <t>Windham RCC</t>
  </si>
  <si>
    <t>*Added penny to make GRAND TOTAL tuition even $7.4 million</t>
  </si>
  <si>
    <t>Rivendell Tuition &amp; Transportation Reimbursement Breakdown</t>
  </si>
  <si>
    <t>Lebanon Tuition &amp; Transportation Reimbursement Breakdown</t>
  </si>
  <si>
    <t>Dresden Tuition &amp; Transportation Reimbursement Breakdown</t>
  </si>
  <si>
    <t xml:space="preserve">HARTFORD, VT (comb. HS &amp; Ledyard Charter)          </t>
  </si>
  <si>
    <t>Mascoma Valley Tuition &amp; Transportation Reimbursement Breakdown</t>
  </si>
  <si>
    <t>Bath Tuition &amp; Transportation Reimbursement Breakdown</t>
  </si>
  <si>
    <t>Benton Tuition &amp; Transportation Reimbursement Breakdown</t>
  </si>
  <si>
    <t>Haverhill Coop Tuition &amp; Transportation Reimbursement Breakdown</t>
  </si>
  <si>
    <t>Piermont Tuition &amp; Transportation Reimbursement Breakdown</t>
  </si>
  <si>
    <t>Warren Tuition &amp; Transportation Reimbursement Breakdown</t>
  </si>
  <si>
    <t>SAU 7 Tuition &amp; Transportation Reimbursement Breakdown</t>
  </si>
  <si>
    <t xml:space="preserve">COLEBROOK - sending to Canaan, VT            </t>
  </si>
  <si>
    <t>COLUMBIA - sending to Canaan, VT</t>
  </si>
  <si>
    <t>New Hampshire Department of Education</t>
  </si>
  <si>
    <t>Bureau of Career Development</t>
  </si>
  <si>
    <t>CTE Tuition and Transportation Distribution</t>
  </si>
  <si>
    <t>DISTRICT NAME</t>
  </si>
  <si>
    <t>TUITION PAYMENT</t>
  </si>
  <si>
    <t>TRANS PAYMENT</t>
  </si>
  <si>
    <t>TOTAL PAYMENT</t>
  </si>
  <si>
    <t>State Total</t>
  </si>
  <si>
    <t>Concord*</t>
  </si>
  <si>
    <t>Contoocook Valley</t>
  </si>
  <si>
    <t>Exeter Region Cooperative</t>
  </si>
  <si>
    <t>Fall Mountain Regional</t>
  </si>
  <si>
    <t>Gorham Randolph Shelburne Coop</t>
  </si>
  <si>
    <t>Governor Wentworth Regional</t>
  </si>
  <si>
    <t>Haverhill Cooperative</t>
  </si>
  <si>
    <t>Hillsboro-Deering Cooperative</t>
  </si>
  <si>
    <t>Inter-Lakes Cooperative</t>
  </si>
  <si>
    <t>Jaffrey-Rindge Cooperative</t>
  </si>
  <si>
    <t>John Stark Regional</t>
  </si>
  <si>
    <t>Kearsarge Regional</t>
  </si>
  <si>
    <t>Lincoln-Woodstock Cooperative</t>
  </si>
  <si>
    <t>Lisbon Regional</t>
  </si>
  <si>
    <t>Littleton*</t>
  </si>
  <si>
    <t>Mascenic Regional</t>
  </si>
  <si>
    <t>Monadnock Regional</t>
  </si>
  <si>
    <t>Newfound Area</t>
  </si>
  <si>
    <t>Oyster River Cooperative</t>
  </si>
  <si>
    <t>Pemi-Baker Regional</t>
  </si>
  <si>
    <t xml:space="preserve">Rivendell </t>
  </si>
  <si>
    <t>Sanborn Regional</t>
  </si>
  <si>
    <t>Souhegan Cooperative</t>
  </si>
  <si>
    <t>Timberlane Regional</t>
  </si>
  <si>
    <t>White Mountains Regional*</t>
  </si>
  <si>
    <t>Wilton-Lyndeboro Cooperative</t>
  </si>
  <si>
    <t>Winnacunnet Cooperative</t>
  </si>
  <si>
    <t>Winnisquam Regional</t>
  </si>
  <si>
    <t>Pinkerton Academy</t>
  </si>
  <si>
    <t>Prospect Mountain</t>
  </si>
  <si>
    <t>Tuition &amp; Transportation  Alternative Education</t>
  </si>
  <si>
    <t>*Tuition Payment includes tuition differential</t>
  </si>
  <si>
    <t>EQUAL OPPORTUNITY EMPLOYER - EQUAL EDUCATION OPPORTUNITIES</t>
  </si>
  <si>
    <t>Hollis-Brookline Cooperative</t>
  </si>
  <si>
    <t>Division of Learner Support</t>
  </si>
  <si>
    <t>Tuition &amp; Transportation Payment Summary</t>
  </si>
  <si>
    <t>Total T&amp;T 
Appropriation</t>
  </si>
  <si>
    <t>CTE 
Tuition</t>
  </si>
  <si>
    <t>Alt-Ed 
Tuition</t>
  </si>
  <si>
    <t>Total 
Tuition</t>
  </si>
  <si>
    <t>CTE 
Transportation</t>
  </si>
  <si>
    <t>Alt-Ed 
Transportation</t>
  </si>
  <si>
    <t>Total
Transportation</t>
  </si>
  <si>
    <t>Transportation % 
of Total Payment</t>
  </si>
  <si>
    <t>FY14</t>
  </si>
  <si>
    <t>SY12-13</t>
  </si>
  <si>
    <t>FY15</t>
  </si>
  <si>
    <t>SY13-14</t>
  </si>
  <si>
    <t>FY16</t>
  </si>
  <si>
    <t>SY14-15</t>
  </si>
  <si>
    <t>FY17</t>
  </si>
  <si>
    <t>SY15-16</t>
  </si>
  <si>
    <t>FY18</t>
  </si>
  <si>
    <t>SY16-17</t>
  </si>
  <si>
    <t>FY19</t>
  </si>
  <si>
    <t>SY17-18</t>
  </si>
  <si>
    <t>Per Student Tuition Reimbursement Rate</t>
  </si>
  <si>
    <t>SY2013-2014</t>
  </si>
  <si>
    <t>SY2014-2015</t>
  </si>
  <si>
    <t>SY2015-2016</t>
  </si>
  <si>
    <t>SY2016-2017</t>
  </si>
  <si>
    <t>Average Reimbursement Rate:</t>
  </si>
  <si>
    <t>SY2017-2018</t>
  </si>
  <si>
    <t>ALL DISTRICTS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</si>
  <si>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</si>
  <si>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</si>
  <si>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</si>
  <si>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</si>
  <si>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</si>
  <si>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</si>
  <si>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</si>
  <si>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</si>
  <si>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</si>
  <si>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</si>
  <si>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</si>
  <si>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</si>
  <si>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</si>
  <si>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Requested Amount</t>
  </si>
  <si>
    <t>*See Footnote</t>
  </si>
  <si>
    <t>Total Tuition and Transportation Reimbursements, By District</t>
  </si>
  <si>
    <t>District Name</t>
  </si>
  <si>
    <t>Alton</t>
  </si>
  <si>
    <t>Coe Brown Academy</t>
  </si>
  <si>
    <t>Exeter Regional</t>
  </si>
  <si>
    <t>Fall Mountain</t>
  </si>
  <si>
    <t>Goshen-Lempster</t>
  </si>
  <si>
    <t>Hampstead</t>
  </si>
  <si>
    <t>Hillsboro</t>
  </si>
  <si>
    <t>Lincoln</t>
  </si>
  <si>
    <t>Pembroke Academy</t>
  </si>
  <si>
    <t>Rivendell Interstate</t>
  </si>
  <si>
    <t>Stratford</t>
  </si>
  <si>
    <t>White Mtn. Regional</t>
  </si>
  <si>
    <t>Governor Wentworth</t>
  </si>
  <si>
    <t xml:space="preserve">       Total Payment</t>
  </si>
  <si>
    <t>*Note: In school year 2012-13 (FY14) the calculation for tuition &amp; transportation changed, thus the traditional proration calculation shown for previous years does not accurately reflect shortfall.</t>
  </si>
  <si>
    <t>FY 2019</t>
  </si>
  <si>
    <t>MANCHESTER CENTRAL (Candia School District)</t>
  </si>
  <si>
    <t>PORTSMOUTH (Greenland School District)</t>
  </si>
  <si>
    <t>PITTSBURG - sending to Canaan, VT</t>
  </si>
  <si>
    <t>Kearsarge Tuition &amp; Transportation Reimbursement Breakdown</t>
  </si>
  <si>
    <t>Hinsdale Tuition &amp; Transportation Reimbursement Breakdown</t>
  </si>
  <si>
    <t>BRATTLEBORO, VT (Windham RCC)</t>
  </si>
  <si>
    <t>MANCHESTER CENTRAL (Charter school student)</t>
  </si>
  <si>
    <t>FY 2020</t>
  </si>
  <si>
    <t>SY2018-2019</t>
  </si>
  <si>
    <t>FY20</t>
  </si>
  <si>
    <t>Administrator</t>
  </si>
  <si>
    <t>Division Director</t>
  </si>
  <si>
    <t>Deputy Commissioner</t>
  </si>
  <si>
    <t>Commissioner</t>
  </si>
  <si>
    <t>Receiving District</t>
  </si>
  <si>
    <t>PLYMOUTH</t>
  </si>
  <si>
    <t>Note:  VT tuition is 
reimbursed to the NH sending districts, not to VT</t>
  </si>
  <si>
    <t xml:space="preserve">RIVENDELL </t>
  </si>
  <si>
    <t xml:space="preserve">LEBANON      </t>
  </si>
  <si>
    <t>FALL MTN</t>
  </si>
  <si>
    <t>WOLFEBORO</t>
  </si>
  <si>
    <t>FY20 Tuition &amp; Transportation Summary</t>
  </si>
  <si>
    <t>RIVERBEND, VT TOTAL</t>
  </si>
  <si>
    <t>BRATTLEBORO, VT TOTAL</t>
  </si>
  <si>
    <t>CANAAN, VT TOTAL</t>
  </si>
  <si>
    <t>HARTFORD, VT TOTAL</t>
  </si>
  <si>
    <t>SPRINGFIELD, VT TOTAL</t>
  </si>
  <si>
    <t>Tuition per Semester on 
AV-1 Form</t>
  </si>
  <si>
    <t>75% of Full Year Tuition</t>
  </si>
  <si>
    <r>
      <t xml:space="preserve">Total # of
Students 
</t>
    </r>
    <r>
      <rPr>
        <b/>
        <sz val="9"/>
        <rFont val="Arial"/>
        <family val="2"/>
      </rPr>
      <t>(SY 2018-2019)</t>
    </r>
  </si>
  <si>
    <t>75% of FY19 Tuition</t>
  </si>
  <si>
    <t>TOTAL:</t>
  </si>
  <si>
    <t>CTE Tuition if 75% of Tuition Costs were Funded in Full</t>
  </si>
  <si>
    <t>Alt-Ed Tuition if 75% of Tuition Costs were Funded in Full</t>
  </si>
  <si>
    <t>Difference:</t>
  </si>
  <si>
    <t>FY20 T&amp;T Appropriation:</t>
  </si>
  <si>
    <t>Per Student 
Reimbursement Rate</t>
  </si>
  <si>
    <t xml:space="preserve">Number of 
Students </t>
  </si>
  <si>
    <t>FY06</t>
  </si>
  <si>
    <t>FY07</t>
  </si>
  <si>
    <t>FY08</t>
  </si>
  <si>
    <t>FY09</t>
  </si>
  <si>
    <t>FY10</t>
  </si>
  <si>
    <t>FY11</t>
  </si>
  <si>
    <t>FY12</t>
  </si>
  <si>
    <t>FY13</t>
  </si>
  <si>
    <t>SY2005-2006</t>
  </si>
  <si>
    <t>SY2004-2005</t>
  </si>
  <si>
    <t>SY2006-2007</t>
  </si>
  <si>
    <t>SY2007-2008</t>
  </si>
  <si>
    <t>SY2008-2009</t>
  </si>
  <si>
    <t>SY2009-2010</t>
  </si>
  <si>
    <t>SY2010-2011</t>
  </si>
  <si>
    <t>SY2011-2012</t>
  </si>
  <si>
    <t>SY2012-2013</t>
  </si>
  <si>
    <t>NA</t>
  </si>
  <si>
    <t>No Alt-Ed</t>
  </si>
  <si>
    <t>No Data</t>
  </si>
  <si>
    <t>10.00005 inc in formula, 35.5 not inc in formula</t>
  </si>
  <si>
    <t>10.16675 inc in formula, 38.5 not inc in formula</t>
  </si>
  <si>
    <t>10.33345 inc in formula, 26 not inc in formula</t>
  </si>
  <si>
    <t>12.50005 inc in formula, no data on how many not included in formula</t>
  </si>
  <si>
    <t>Number of Students</t>
  </si>
  <si>
    <t>Data Unavailable</t>
  </si>
  <si>
    <r>
      <t>Proration %</t>
    </r>
    <r>
      <rPr>
        <vertAlign val="superscript"/>
        <sz val="12"/>
        <color theme="1"/>
        <rFont val="Calibri"/>
        <family val="2"/>
        <scheme val="minor"/>
      </rPr>
      <t>1</t>
    </r>
  </si>
  <si>
    <r>
      <t>State Aid Payment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</si>
  <si>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CLAREMONT </t>
  </si>
  <si>
    <t>Dover's tuition varies by 
program, will need to pull forms to get correct total tuition requested.</t>
  </si>
  <si>
    <t>*seems to vary by program</t>
  </si>
  <si>
    <t>SAU 16</t>
  </si>
  <si>
    <t xml:space="preserve"># total of students from Worksheet </t>
  </si>
  <si>
    <r>
      <t>*FY20 per student tuition reimbursement rate was:</t>
    </r>
    <r>
      <rPr>
        <sz val="10"/>
        <color rgb="FFFF0000"/>
        <rFont val="Arial"/>
        <family val="2"/>
      </rPr>
      <t xml:space="preserve"> </t>
    </r>
  </si>
  <si>
    <t>*20% default CTE cost in CATE</t>
  </si>
  <si>
    <t>PEMBROKE SCH DISTRICT SAU 53</t>
  </si>
  <si>
    <r>
      <t xml:space="preserve">DOVER </t>
    </r>
    <r>
      <rPr>
        <i/>
        <sz val="8"/>
        <rFont val="Arial"/>
        <family val="2"/>
      </rPr>
      <t>(Tuition varies by program)</t>
    </r>
  </si>
  <si>
    <t>Dover Total:</t>
  </si>
  <si>
    <t>Total # of
Students 
(SY 2018-19)</t>
  </si>
  <si>
    <t>RIVERBEND, VT</t>
  </si>
  <si>
    <t xml:space="preserve">HARTFORD, VT </t>
  </si>
  <si>
    <t>CTE TUITION TOTAL</t>
  </si>
  <si>
    <t>ALT-ED TUITION TOTAL:</t>
  </si>
  <si>
    <t>double check</t>
  </si>
  <si>
    <t>across (Includes Alt-Ed)</t>
  </si>
  <si>
    <t>down (Doesn't include Alt-Ed)</t>
  </si>
  <si>
    <t>FY 2021</t>
  </si>
  <si>
    <t>FY21</t>
  </si>
  <si>
    <t>SY18-19</t>
  </si>
  <si>
    <t>SY19-20</t>
  </si>
  <si>
    <t>SY2019-2020</t>
  </si>
  <si>
    <t># total of students from AV-2's</t>
  </si>
  <si>
    <t>Need to pay Dover not Farmington</t>
  </si>
  <si>
    <t>SY 2020-2021</t>
  </si>
  <si>
    <t xml:space="preserve">School Year 2020-2021 </t>
  </si>
  <si>
    <t>FY22 (School Year 2020-21)</t>
  </si>
  <si>
    <t>FY22 Estimate to Fully Fund Tuition &amp; Transportation</t>
  </si>
  <si>
    <t xml:space="preserve">75% of FY22 Tuition </t>
  </si>
  <si>
    <t>FY22 Tuition Payment</t>
  </si>
  <si>
    <t>Difference between FY22 Payment &amp; Full Tuition Request</t>
  </si>
  <si>
    <t>FY22</t>
  </si>
  <si>
    <t>Rollinsford still part of Somersworth's SAU, so Somersworth can sign for both sending &amp; receiving</t>
  </si>
  <si>
    <t>HOOKSETT SCH DISTRICT</t>
  </si>
  <si>
    <t>Hooksett</t>
  </si>
  <si>
    <t>*for charter sch student going, under Pinkerton in CATE</t>
  </si>
  <si>
    <t>HOOKSETT</t>
  </si>
  <si>
    <t>Y</t>
  </si>
  <si>
    <t>Mascenic's tuition varies by 
course, will need to pull forms to get correct total tuition requested.</t>
  </si>
  <si>
    <t>STRAFFORD SCH DISTRICT* (Coe-Brown/Northwood homeschooler)</t>
  </si>
  <si>
    <t>STRAFFORD SCH DISTRICT</t>
  </si>
  <si>
    <t>Strafford</t>
  </si>
  <si>
    <t>JOHN STARK</t>
  </si>
  <si>
    <t>Luda Balanovich</t>
  </si>
  <si>
    <t>lbalanovich@sau8.org</t>
  </si>
  <si>
    <t xml:space="preserve">Need to sent copy to Luda </t>
  </si>
  <si>
    <t>STEWARTSTOWN</t>
  </si>
  <si>
    <t xml:space="preserve">Y </t>
  </si>
  <si>
    <t>SAU 15</t>
  </si>
  <si>
    <t>6.1667 inc in formula, 29 not inc in formula</t>
  </si>
  <si>
    <t xml:space="preserve">DERRY </t>
  </si>
  <si>
    <t>PEMBROKE ACADEMY</t>
  </si>
  <si>
    <t xml:space="preserve">PORTSMOUTH </t>
  </si>
  <si>
    <t>Student under Pinkerton Academy in CATE, but payment needs to be made to Hooksett School District</t>
  </si>
  <si>
    <t>FY 2022</t>
  </si>
  <si>
    <t>SY20-21</t>
  </si>
  <si>
    <t>FY14 - FY21</t>
  </si>
  <si>
    <t>SY2021-2022</t>
  </si>
  <si>
    <t>*except Keene - needs to be verified once revised 1st Half forms are submitted</t>
  </si>
  <si>
    <t>1 student is 2/3 on AV-1 and 1/3 on AV-2</t>
  </si>
  <si>
    <t>Total Differential
per Worksheet</t>
  </si>
  <si>
    <t>Total Differential
per AV-2's</t>
  </si>
  <si>
    <t>Difference</t>
  </si>
  <si>
    <t>as well as BA in Excel</t>
  </si>
  <si>
    <t>STRAFFORD SCHOOL DISTRICT</t>
  </si>
  <si>
    <r>
      <rPr>
        <sz val="10"/>
        <color theme="1"/>
        <rFont val="Arial"/>
        <family val="2"/>
      </rPr>
      <t>LANGDON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rFont val="Arial"/>
        <family val="2"/>
      </rPr>
      <t>FALL MTN</t>
    </r>
  </si>
  <si>
    <t xml:space="preserve">WHITEFIELD </t>
  </si>
  <si>
    <t>SANBORN REGIONAL</t>
  </si>
  <si>
    <t>*subtracted  penny due to rounding</t>
  </si>
  <si>
    <t>STEWARTSTOWN - sending to Canaan, VT</t>
  </si>
  <si>
    <t>*May have to re-check this after all forms are submitted with any edits</t>
  </si>
  <si>
    <t>SAU 106</t>
  </si>
  <si>
    <t>Forward T&amp;T for Wesite report for posting on DOE website</t>
  </si>
  <si>
    <t>Update all T&amp;T reports</t>
  </si>
  <si>
    <t>Email notifications to receiving district BA's when invoice is sent to OBM.  
)Luda Balanovich in Concord will want an Excel version.)</t>
  </si>
  <si>
    <t>*Added penny due to rounding</t>
  </si>
  <si>
    <t xml:space="preserve">STRAFFORD SCH DISTRICT </t>
  </si>
  <si>
    <t>DOVER:</t>
  </si>
  <si>
    <t>*emailed Matthew Angell @ Sanborn 8/31, &amp; again 9/20, they wanted 1 student removed from from and submitted for separate district on manual AV-1 form, emailed the instructions to Exeter/Sanborn on 9/21, received Sanborn's signature but not Exeter</t>
  </si>
  <si>
    <t>Actual FY22 Tuition Payment**</t>
  </si>
  <si>
    <t>Difference Between FY22 Payment &amp; 75% of Tuition Costs</t>
  </si>
  <si>
    <t>Alt-Ed tuitions were paid in full, as they were significantly less than the CTE tuition costs.</t>
  </si>
  <si>
    <t>Y- on original, received Salem's signature on revision 9/13-they said they were forwarding to Timberlane, emailed Maria &amp; Jill @ Timberlane 9/20. Jeff OK'd paying this per email on 10/12</t>
  </si>
  <si>
    <t>Y - signed by Fall Mt but not Keene, Jeff approved paying this per emial 10/12</t>
  </si>
  <si>
    <t>Y-on originial, not revision - emailed Penny again 9/27 &amp; Tim ruehr, received Monadnock's signature but not Keene's. Jeff approved paying this per email 10/12.</t>
  </si>
  <si>
    <t>Y - Londonderry crossed 1 student off because they didn't attend. Jeff OK'd paying Manchester less that student per 10/12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</si>
</sst>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&quot;$&quot;#,##0.00"/>
    <numFmt numFmtId="166" formatCode="0.00000"/>
    <numFmt numFmtId="167" formatCode="_(&quot;$&quot;* #,##0.000_);_(&quot;$&quot;* \(#,##0.000\);_(&quot;$&quot;* &quot;-&quot;???_);_(@_)"/>
    <numFmt numFmtId="168" formatCode="#,##0.000000"/>
    <numFmt numFmtId="169" formatCode="&quot;$&quot;#,##0.000000"/>
    <numFmt numFmtId="170" formatCode="_(&quot;$&quot;* #,##0.0000_);_(&quot;$&quot;* \(#,##0.0000\);_(&quot;$&quot;* &quot;-&quot;????_);_(@_)"/>
    <numFmt numFmtId="171" formatCode="#,##0.00000"/>
    <numFmt numFmtId="172" formatCode="m/d/yy;@"/>
    <numFmt numFmtId="173" formatCode="0.0000000"/>
    <numFmt numFmtId="174" formatCode="_(* #,##0.00000_);_(* \(#,##0.00000\);_(* &quot;-&quot;?????_);_(@_)"/>
    <numFmt numFmtId="175" formatCode="_(&quot;$&quot;* #,##0.00000_);_(&quot;$&quot;* \(#,##0.00000\);_(&quot;$&quot;* &quot;-&quot;?????_);_(@_)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61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theme="4" tint="-0.249977111117893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49998474074526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u val="singleAccounting"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rgb="FF00B050"/>
      <name val="Arial"/>
      <family val="2"/>
    </font>
    <font>
      <sz val="11"/>
      <name val="Calibri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9.9948118533890809E-2"/>
      </bottom>
      <diagonal/>
    </border>
    <border>
      <left style="medium">
        <color indexed="64"/>
      </left>
      <right/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34" fillId="0" borderId="0"/>
    <xf numFmtId="9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3" fillId="0" borderId="0" applyNumberFormat="0" applyFill="0" applyBorder="0" applyAlignment="0" applyProtection="0"/>
    <xf numFmtId="0" fontId="3" fillId="0" borderId="0"/>
    <xf numFmtId="0" fontId="3" fillId="0" borderId="0"/>
  </cellStyleXfs>
  <cellXfs count="1119">
    <xf numFmtId="0" fontId="0" fillId="0" borderId="0" xfId="0"/>
    <xf numFmtId="44" fontId="0" fillId="0" borderId="0" xfId="2" applyFont="1"/>
    <xf numFmtId="44" fontId="0" fillId="0" borderId="0" xfId="2" applyFont="1" applyFill="1"/>
    <xf numFmtId="0" fontId="0" fillId="0" borderId="0" xfId="0" applyFill="1"/>
    <xf numFmtId="44" fontId="0" fillId="0" borderId="0" xfId="0" applyNumberFormat="1" applyFill="1"/>
    <xf numFmtId="44" fontId="0" fillId="3" borderId="0" xfId="2" applyFont="1" applyFill="1"/>
    <xf numFmtId="0" fontId="10" fillId="0" borderId="0" xfId="0" applyFont="1"/>
    <xf numFmtId="44" fontId="0" fillId="0" borderId="0" xfId="0" applyNumberFormat="1"/>
    <xf numFmtId="0" fontId="0" fillId="3" borderId="0" xfId="0" applyFill="1"/>
    <xf numFmtId="44" fontId="12" fillId="3" borderId="0" xfId="0" applyNumberFormat="1" applyFont="1" applyFill="1" applyAlignment="1">
      <alignment horizontal="left"/>
    </xf>
    <xf numFmtId="44" fontId="16" fillId="3" borderId="0" xfId="2" applyFont="1" applyFill="1"/>
    <xf numFmtId="44" fontId="0" fillId="4" borderId="0" xfId="2" applyFont="1" applyFill="1"/>
    <xf numFmtId="0" fontId="10" fillId="0" borderId="0" xfId="0" applyFont="1" applyFill="1"/>
    <xf numFmtId="44" fontId="10" fillId="0" borderId="0" xfId="2" applyFont="1" applyFill="1"/>
    <xf numFmtId="44" fontId="18" fillId="3" borderId="0" xfId="2" applyFont="1" applyFill="1"/>
    <xf numFmtId="44" fontId="10" fillId="3" borderId="0" xfId="2" applyFont="1" applyFill="1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1" applyNumberFormat="1" applyFont="1"/>
    <xf numFmtId="4" fontId="0" fillId="0" borderId="0" xfId="1" applyNumberFormat="1" applyFont="1" applyFill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0" fillId="0" borderId="0" xfId="0" applyFont="1" applyFill="1" applyAlignment="1">
      <alignment horizontal="center"/>
    </xf>
    <xf numFmtId="44" fontId="0" fillId="8" borderId="0" xfId="2" applyFont="1" applyFill="1"/>
    <xf numFmtId="0" fontId="10" fillId="0" borderId="0" xfId="3"/>
    <xf numFmtId="0" fontId="10" fillId="0" borderId="0" xfId="3" applyFont="1" applyAlignment="1">
      <alignment horizontal="center"/>
    </xf>
    <xf numFmtId="4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Fill="1"/>
    <xf numFmtId="0" fontId="9" fillId="0" borderId="0" xfId="0" applyFont="1"/>
    <xf numFmtId="4" fontId="10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1" applyNumberFormat="1" applyFont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Fill="1"/>
    <xf numFmtId="4" fontId="21" fillId="0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 horizontal="center"/>
    </xf>
    <xf numFmtId="4" fontId="10" fillId="0" borderId="0" xfId="1" applyNumberFormat="1" applyFont="1"/>
    <xf numFmtId="4" fontId="21" fillId="0" borderId="0" xfId="0" applyNumberFormat="1" applyFont="1" applyAlignment="1">
      <alignment horizontal="right"/>
    </xf>
    <xf numFmtId="0" fontId="19" fillId="0" borderId="0" xfId="0" applyFont="1"/>
    <xf numFmtId="44" fontId="19" fillId="0" borderId="0" xfId="0" applyNumberFormat="1" applyFont="1"/>
    <xf numFmtId="164" fontId="0" fillId="0" borderId="0" xfId="0" applyNumberFormat="1"/>
    <xf numFmtId="44" fontId="0" fillId="6" borderId="0" xfId="0" applyNumberFormat="1" applyFill="1"/>
    <xf numFmtId="0" fontId="0" fillId="0" borderId="0" xfId="0" applyNumberFormat="1" applyAlignment="1" applyProtection="1">
      <alignment horizontal="center"/>
    </xf>
    <xf numFmtId="0" fontId="0" fillId="6" borderId="0" xfId="0" applyNumberFormat="1" applyFill="1" applyAlignment="1" applyProtection="1">
      <alignment horizontal="center"/>
    </xf>
    <xf numFmtId="0" fontId="10" fillId="6" borderId="0" xfId="0" applyNumberFormat="1" applyFont="1" applyFill="1" applyAlignment="1" applyProtection="1">
      <alignment horizontal="center"/>
    </xf>
    <xf numFmtId="1" fontId="11" fillId="2" borderId="1" xfId="4" applyNumberFormat="1" applyFont="1" applyFill="1" applyBorder="1" applyAlignment="1">
      <alignment horizontal="center"/>
    </xf>
    <xf numFmtId="44" fontId="11" fillId="2" borderId="2" xfId="4" applyNumberFormat="1" applyFont="1" applyFill="1" applyBorder="1" applyAlignment="1">
      <alignment horizontal="center" vertical="center" wrapText="1"/>
    </xf>
    <xf numFmtId="44" fontId="11" fillId="2" borderId="3" xfId="4" applyNumberFormat="1" applyFont="1" applyFill="1" applyBorder="1" applyAlignment="1">
      <alignment horizontal="center" vertical="center" wrapText="1"/>
    </xf>
    <xf numFmtId="44" fontId="11" fillId="6" borderId="8" xfId="4" applyNumberFormat="1" applyFont="1" applyFill="1" applyBorder="1" applyAlignment="1">
      <alignment horizontal="center" vertical="center" wrapText="1"/>
    </xf>
    <xf numFmtId="0" fontId="0" fillId="0" borderId="0" xfId="0" applyFont="1"/>
    <xf numFmtId="44" fontId="0" fillId="11" borderId="0" xfId="0" applyNumberFormat="1" applyFill="1"/>
    <xf numFmtId="0" fontId="22" fillId="6" borderId="0" xfId="0" applyFont="1" applyFill="1"/>
    <xf numFmtId="0" fontId="0" fillId="12" borderId="0" xfId="0" applyFont="1" applyFill="1"/>
    <xf numFmtId="0" fontId="0" fillId="6" borderId="0" xfId="0" applyFont="1" applyFill="1"/>
    <xf numFmtId="44" fontId="22" fillId="11" borderId="0" xfId="0" applyNumberFormat="1" applyFont="1" applyFill="1"/>
    <xf numFmtId="0" fontId="23" fillId="13" borderId="0" xfId="0" applyFont="1" applyFill="1"/>
    <xf numFmtId="0" fontId="0" fillId="13" borderId="0" xfId="0" applyFont="1" applyFill="1"/>
    <xf numFmtId="44" fontId="0" fillId="13" borderId="0" xfId="0" applyNumberFormat="1" applyFill="1"/>
    <xf numFmtId="44" fontId="0" fillId="14" borderId="0" xfId="0" applyNumberFormat="1" applyFill="1"/>
    <xf numFmtId="0" fontId="0" fillId="15" borderId="0" xfId="0" applyFont="1" applyFill="1"/>
    <xf numFmtId="44" fontId="0" fillId="15" borderId="0" xfId="0" applyNumberFormat="1" applyFill="1"/>
    <xf numFmtId="44" fontId="0" fillId="7" borderId="0" xfId="2" applyFont="1" applyFill="1"/>
    <xf numFmtId="44" fontId="10" fillId="7" borderId="0" xfId="2" applyFont="1" applyFill="1"/>
    <xf numFmtId="44" fontId="10" fillId="8" borderId="0" xfId="2" applyFont="1" applyFill="1"/>
    <xf numFmtId="44" fontId="0" fillId="16" borderId="0" xfId="2" applyFont="1" applyFill="1"/>
    <xf numFmtId="7" fontId="0" fillId="0" borderId="0" xfId="0" applyNumberFormat="1"/>
    <xf numFmtId="7" fontId="0" fillId="7" borderId="0" xfId="2" applyNumberFormat="1" applyFont="1" applyFill="1"/>
    <xf numFmtId="0" fontId="20" fillId="0" borderId="0" xfId="0" applyFont="1"/>
    <xf numFmtId="0" fontId="10" fillId="12" borderId="0" xfId="0" applyFont="1" applyFill="1"/>
    <xf numFmtId="0" fontId="25" fillId="0" borderId="0" xfId="0" applyFont="1" applyAlignment="1"/>
    <xf numFmtId="7" fontId="10" fillId="16" borderId="0" xfId="2" applyNumberFormat="1" applyFont="1" applyFill="1"/>
    <xf numFmtId="7" fontId="10" fillId="0" borderId="0" xfId="2" applyNumberFormat="1" applyFont="1" applyFill="1"/>
    <xf numFmtId="44" fontId="10" fillId="0" borderId="0" xfId="2" applyNumberFormat="1" applyFont="1" applyFill="1"/>
    <xf numFmtId="165" fontId="0" fillId="0" borderId="0" xfId="0" applyNumberFormat="1"/>
    <xf numFmtId="165" fontId="0" fillId="3" borderId="0" xfId="2" applyNumberFormat="1" applyFont="1" applyFill="1"/>
    <xf numFmtId="165" fontId="0" fillId="7" borderId="0" xfId="2" applyNumberFormat="1" applyFont="1" applyFill="1"/>
    <xf numFmtId="165" fontId="0" fillId="8" borderId="0" xfId="2" applyNumberFormat="1" applyFont="1" applyFill="1"/>
    <xf numFmtId="165" fontId="10" fillId="7" borderId="0" xfId="2" applyNumberFormat="1" applyFont="1" applyFill="1"/>
    <xf numFmtId="165" fontId="0" fillId="0" borderId="0" xfId="2" applyNumberFormat="1" applyFont="1"/>
    <xf numFmtId="165" fontId="0" fillId="4" borderId="0" xfId="2" applyNumberFormat="1" applyFont="1" applyFill="1"/>
    <xf numFmtId="7" fontId="0" fillId="16" borderId="0" xfId="2" applyNumberFormat="1" applyFont="1" applyFill="1"/>
    <xf numFmtId="44" fontId="10" fillId="0" borderId="0" xfId="0" applyNumberFormat="1" applyFont="1"/>
    <xf numFmtId="7" fontId="0" fillId="11" borderId="0" xfId="0" applyNumberFormat="1" applyFill="1"/>
    <xf numFmtId="0" fontId="0" fillId="0" borderId="14" xfId="0" applyBorder="1"/>
    <xf numFmtId="167" fontId="11" fillId="2" borderId="2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0" fillId="6" borderId="0" xfId="0" applyNumberFormat="1" applyFill="1"/>
    <xf numFmtId="167" fontId="0" fillId="13" borderId="0" xfId="0" applyNumberFormat="1" applyFill="1"/>
    <xf numFmtId="167" fontId="0" fillId="15" borderId="0" xfId="0" applyNumberFormat="1" applyFill="1"/>
    <xf numFmtId="0" fontId="0" fillId="0" borderId="0" xfId="0" applyAlignment="1">
      <alignment horizontal="center" wrapText="1"/>
    </xf>
    <xf numFmtId="0" fontId="10" fillId="0" borderId="0" xfId="0" applyFont="1" applyFill="1" applyBorder="1"/>
    <xf numFmtId="1" fontId="11" fillId="2" borderId="2" xfId="4" applyNumberFormat="1" applyFont="1" applyFill="1" applyBorder="1" applyAlignment="1">
      <alignment horizontal="center" wrapText="1"/>
    </xf>
    <xf numFmtId="0" fontId="0" fillId="13" borderId="0" xfId="0" applyNumberFormat="1" applyFill="1" applyAlignment="1" applyProtection="1">
      <alignment horizontal="center"/>
    </xf>
    <xf numFmtId="0" fontId="0" fillId="15" borderId="0" xfId="0" applyNumberFormat="1" applyFill="1" applyAlignment="1" applyProtection="1">
      <alignment horizontal="center"/>
    </xf>
    <xf numFmtId="0" fontId="0" fillId="0" borderId="0" xfId="0" applyNumberFormat="1" applyProtection="1"/>
    <xf numFmtId="1" fontId="11" fillId="2" borderId="24" xfId="4" applyNumberFormat="1" applyFont="1" applyFill="1" applyBorder="1" applyAlignment="1">
      <alignment horizontal="center"/>
    </xf>
    <xf numFmtId="0" fontId="0" fillId="0" borderId="20" xfId="0" applyFont="1" applyBorder="1"/>
    <xf numFmtId="0" fontId="0" fillId="0" borderId="0" xfId="0" applyFont="1" applyBorder="1"/>
    <xf numFmtId="0" fontId="22" fillId="6" borderId="20" xfId="0" applyFont="1" applyFill="1" applyBorder="1"/>
    <xf numFmtId="0" fontId="22" fillId="6" borderId="0" xfId="0" applyFont="1" applyFill="1" applyBorder="1"/>
    <xf numFmtId="0" fontId="0" fillId="12" borderId="20" xfId="0" applyFont="1" applyFill="1" applyBorder="1"/>
    <xf numFmtId="0" fontId="0" fillId="12" borderId="0" xfId="0" applyFont="1" applyFill="1" applyBorder="1"/>
    <xf numFmtId="0" fontId="0" fillId="6" borderId="20" xfId="0" applyFont="1" applyFill="1" applyBorder="1"/>
    <xf numFmtId="0" fontId="0" fillId="6" borderId="0" xfId="0" applyFont="1" applyFill="1" applyBorder="1"/>
    <xf numFmtId="0" fontId="10" fillId="12" borderId="20" xfId="0" applyFont="1" applyFill="1" applyBorder="1"/>
    <xf numFmtId="0" fontId="10" fillId="12" borderId="0" xfId="0" applyFont="1" applyFill="1" applyBorder="1"/>
    <xf numFmtId="0" fontId="0" fillId="13" borderId="20" xfId="0" applyFont="1" applyFill="1" applyBorder="1"/>
    <xf numFmtId="0" fontId="0" fillId="13" borderId="0" xfId="0" applyFont="1" applyFill="1" applyBorder="1"/>
    <xf numFmtId="0" fontId="19" fillId="0" borderId="20" xfId="0" applyFont="1" applyBorder="1"/>
    <xf numFmtId="0" fontId="19" fillId="0" borderId="0" xfId="0" applyFont="1" applyBorder="1"/>
    <xf numFmtId="0" fontId="0" fillId="15" borderId="20" xfId="0" applyFont="1" applyFill="1" applyBorder="1"/>
    <xf numFmtId="0" fontId="0" fillId="15" borderId="0" xfId="0" applyFont="1" applyFill="1" applyBorder="1"/>
    <xf numFmtId="0" fontId="0" fillId="0" borderId="21" xfId="0" applyFont="1" applyBorder="1"/>
    <xf numFmtId="0" fontId="22" fillId="6" borderId="21" xfId="0" applyFont="1" applyFill="1" applyBorder="1"/>
    <xf numFmtId="0" fontId="0" fillId="12" borderId="21" xfId="0" applyFont="1" applyFill="1" applyBorder="1"/>
    <xf numFmtId="0" fontId="0" fillId="6" borderId="21" xfId="0" applyFont="1" applyFill="1" applyBorder="1"/>
    <xf numFmtId="0" fontId="10" fillId="12" borderId="21" xfId="0" applyFont="1" applyFill="1" applyBorder="1"/>
    <xf numFmtId="0" fontId="0" fillId="13" borderId="21" xfId="0" applyFont="1" applyFill="1" applyBorder="1"/>
    <xf numFmtId="0" fontId="19" fillId="0" borderId="21" xfId="0" applyFont="1" applyBorder="1"/>
    <xf numFmtId="0" fontId="0" fillId="15" borderId="21" xfId="0" applyFont="1" applyFill="1" applyBorder="1"/>
    <xf numFmtId="0" fontId="11" fillId="2" borderId="23" xfId="4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10" fillId="9" borderId="0" xfId="0" applyFont="1" applyFill="1"/>
    <xf numFmtId="0" fontId="10" fillId="9" borderId="20" xfId="0" applyFont="1" applyFill="1" applyBorder="1"/>
    <xf numFmtId="0" fontId="10" fillId="9" borderId="0" xfId="0" applyFont="1" applyFill="1" applyBorder="1"/>
    <xf numFmtId="0" fontId="10" fillId="9" borderId="21" xfId="0" applyFont="1" applyFill="1" applyBorder="1"/>
    <xf numFmtId="44" fontId="0" fillId="9" borderId="0" xfId="0" applyNumberFormat="1" applyFill="1"/>
    <xf numFmtId="0" fontId="10" fillId="0" borderId="20" xfId="0" applyFont="1" applyBorder="1"/>
    <xf numFmtId="0" fontId="10" fillId="0" borderId="21" xfId="0" applyFont="1" applyBorder="1"/>
    <xf numFmtId="0" fontId="25" fillId="0" borderId="0" xfId="0" applyFont="1"/>
    <xf numFmtId="0" fontId="25" fillId="0" borderId="20" xfId="0" applyFont="1" applyBorder="1"/>
    <xf numFmtId="0" fontId="25" fillId="0" borderId="0" xfId="0" applyFont="1" applyBorder="1"/>
    <xf numFmtId="0" fontId="25" fillId="0" borderId="21" xfId="0" applyFont="1" applyBorder="1"/>
    <xf numFmtId="44" fontId="10" fillId="9" borderId="0" xfId="0" applyNumberFormat="1" applyFont="1" applyFill="1"/>
    <xf numFmtId="44" fontId="10" fillId="14" borderId="0" xfId="0" applyNumberFormat="1" applyFont="1" applyFill="1"/>
    <xf numFmtId="0" fontId="10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0" fontId="0" fillId="7" borderId="9" xfId="0" applyFill="1" applyBorder="1"/>
    <xf numFmtId="0" fontId="0" fillId="0" borderId="12" xfId="0" applyFill="1" applyBorder="1"/>
    <xf numFmtId="165" fontId="0" fillId="7" borderId="22" xfId="0" applyNumberFormat="1" applyFill="1" applyBorder="1"/>
    <xf numFmtId="0" fontId="0" fillId="0" borderId="10" xfId="0" applyBorder="1"/>
    <xf numFmtId="0" fontId="0" fillId="0" borderId="0" xfId="0" applyBorder="1"/>
    <xf numFmtId="165" fontId="0" fillId="0" borderId="11" xfId="0" applyNumberFormat="1" applyBorder="1"/>
    <xf numFmtId="0" fontId="0" fillId="0" borderId="4" xfId="0" applyBorder="1"/>
    <xf numFmtId="165" fontId="0" fillId="0" borderId="4" xfId="0" applyNumberFormat="1" applyBorder="1"/>
    <xf numFmtId="165" fontId="0" fillId="0" borderId="13" xfId="0" applyNumberFormat="1" applyBorder="1"/>
    <xf numFmtId="0" fontId="0" fillId="0" borderId="12" xfId="0" applyBorder="1"/>
    <xf numFmtId="0" fontId="0" fillId="0" borderId="10" xfId="0" applyFill="1" applyBorder="1"/>
    <xf numFmtId="0" fontId="0" fillId="9" borderId="0" xfId="0" applyFill="1" applyBorder="1"/>
    <xf numFmtId="7" fontId="0" fillId="0" borderId="11" xfId="0" applyNumberFormat="1" applyBorder="1" applyAlignment="1"/>
    <xf numFmtId="0" fontId="0" fillId="0" borderId="10" xfId="0" applyFill="1" applyBorder="1" applyAlignment="1">
      <alignment horizontal="left"/>
    </xf>
    <xf numFmtId="7" fontId="0" fillId="0" borderId="4" xfId="0" applyNumberFormat="1" applyBorder="1" applyAlignment="1"/>
    <xf numFmtId="7" fontId="0" fillId="0" borderId="13" xfId="0" applyNumberFormat="1" applyBorder="1" applyAlignment="1"/>
    <xf numFmtId="7" fontId="0" fillId="7" borderId="22" xfId="0" applyNumberFormat="1" applyFill="1" applyBorder="1" applyAlignment="1"/>
    <xf numFmtId="0" fontId="10" fillId="12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9" fillId="1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15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0" fillId="9" borderId="20" xfId="0" applyFont="1" applyFill="1" applyBorder="1"/>
    <xf numFmtId="0" fontId="0" fillId="9" borderId="0" xfId="0" applyFont="1" applyFill="1" applyBorder="1"/>
    <xf numFmtId="0" fontId="0" fillId="9" borderId="21" xfId="0" applyFont="1" applyFill="1" applyBorder="1"/>
    <xf numFmtId="0" fontId="9" fillId="10" borderId="0" xfId="0" applyFont="1" applyFill="1"/>
    <xf numFmtId="0" fontId="9" fillId="10" borderId="0" xfId="0" applyFont="1" applyFill="1" applyAlignment="1">
      <alignment horizontal="center"/>
    </xf>
    <xf numFmtId="166" fontId="9" fillId="10" borderId="0" xfId="0" applyNumberFormat="1" applyFont="1" applyFill="1" applyProtection="1"/>
    <xf numFmtId="0" fontId="10" fillId="0" borderId="0" xfId="0" applyFont="1" applyAlignment="1">
      <alignment wrapText="1"/>
    </xf>
    <xf numFmtId="44" fontId="0" fillId="7" borderId="0" xfId="2" applyNumberFormat="1" applyFont="1" applyFill="1"/>
    <xf numFmtId="0" fontId="0" fillId="9" borderId="0" xfId="0" applyFill="1"/>
    <xf numFmtId="0" fontId="15" fillId="9" borderId="0" xfId="0" applyFont="1" applyFill="1"/>
    <xf numFmtId="165" fontId="0" fillId="9" borderId="0" xfId="0" applyNumberFormat="1" applyFill="1"/>
    <xf numFmtId="0" fontId="0" fillId="9" borderId="0" xfId="0" applyFill="1" applyAlignment="1">
      <alignment horizontal="center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8" fontId="0" fillId="0" borderId="0" xfId="0" applyNumberFormat="1"/>
    <xf numFmtId="168" fontId="0" fillId="6" borderId="0" xfId="0" applyNumberFormat="1" applyFill="1"/>
    <xf numFmtId="168" fontId="0" fillId="0" borderId="0" xfId="0" applyNumberFormat="1" applyFill="1"/>
    <xf numFmtId="168" fontId="10" fillId="6" borderId="0" xfId="0" applyNumberFormat="1" applyFont="1" applyFill="1"/>
    <xf numFmtId="168" fontId="26" fillId="6" borderId="0" xfId="0" applyNumberFormat="1" applyFont="1" applyFill="1"/>
    <xf numFmtId="168" fontId="0" fillId="13" borderId="0" xfId="0" applyNumberFormat="1" applyFill="1"/>
    <xf numFmtId="168" fontId="10" fillId="0" borderId="0" xfId="0" applyNumberFormat="1" applyFont="1"/>
    <xf numFmtId="168" fontId="10" fillId="13" borderId="0" xfId="0" applyNumberFormat="1" applyFont="1" applyFill="1"/>
    <xf numFmtId="168" fontId="19" fillId="0" borderId="0" xfId="0" applyNumberFormat="1" applyFont="1"/>
    <xf numFmtId="168" fontId="0" fillId="15" borderId="0" xfId="0" applyNumberFormat="1" applyFill="1"/>
    <xf numFmtId="169" fontId="0" fillId="0" borderId="0" xfId="0" applyNumberFormat="1"/>
    <xf numFmtId="0" fontId="9" fillId="15" borderId="0" xfId="0" applyFont="1" applyFill="1"/>
    <xf numFmtId="166" fontId="9" fillId="15" borderId="0" xfId="0" applyNumberFormat="1" applyFont="1" applyFill="1" applyAlignment="1" applyProtection="1">
      <alignment horizontal="center"/>
    </xf>
    <xf numFmtId="167" fontId="9" fillId="15" borderId="0" xfId="0" applyNumberFormat="1" applyFont="1" applyFill="1"/>
    <xf numFmtId="168" fontId="9" fillId="15" borderId="0" xfId="0" applyNumberFormat="1" applyFont="1" applyFill="1"/>
    <xf numFmtId="44" fontId="9" fillId="15" borderId="0" xfId="0" applyNumberFormat="1" applyFont="1" applyFill="1"/>
    <xf numFmtId="44" fontId="10" fillId="15" borderId="0" xfId="0" applyNumberFormat="1" applyFont="1" applyFill="1"/>
    <xf numFmtId="0" fontId="9" fillId="9" borderId="0" xfId="0" applyFont="1" applyFill="1"/>
    <xf numFmtId="167" fontId="10" fillId="0" borderId="0" xfId="0" applyNumberFormat="1" applyFont="1"/>
    <xf numFmtId="0" fontId="0" fillId="17" borderId="0" xfId="0" applyFill="1"/>
    <xf numFmtId="14" fontId="10" fillId="17" borderId="0" xfId="0" applyNumberFormat="1" applyFont="1" applyFill="1" applyAlignment="1">
      <alignment horizontal="center"/>
    </xf>
    <xf numFmtId="0" fontId="10" fillId="17" borderId="0" xfId="0" applyFont="1" applyFill="1" applyAlignment="1">
      <alignment horizontal="center"/>
    </xf>
    <xf numFmtId="4" fontId="10" fillId="17" borderId="0" xfId="0" applyNumberFormat="1" applyFont="1" applyFill="1" applyAlignment="1">
      <alignment horizontal="right"/>
    </xf>
    <xf numFmtId="0" fontId="10" fillId="17" borderId="0" xfId="0" applyFont="1" applyFill="1"/>
    <xf numFmtId="0" fontId="0" fillId="17" borderId="0" xfId="0" applyFill="1" applyAlignment="1">
      <alignment horizontal="center"/>
    </xf>
    <xf numFmtId="0" fontId="10" fillId="17" borderId="0" xfId="0" applyFont="1" applyFill="1" applyAlignment="1">
      <alignment horizontal="center" wrapText="1"/>
    </xf>
    <xf numFmtId="165" fontId="10" fillId="0" borderId="0" xfId="1" applyNumberFormat="1" applyFont="1"/>
    <xf numFmtId="44" fontId="9" fillId="10" borderId="0" xfId="0" applyNumberFormat="1" applyFont="1" applyFill="1"/>
    <xf numFmtId="44" fontId="12" fillId="18" borderId="0" xfId="0" applyNumberFormat="1" applyFont="1" applyFill="1" applyAlignment="1">
      <alignment horizontal="left"/>
    </xf>
    <xf numFmtId="44" fontId="0" fillId="18" borderId="0" xfId="2" applyFont="1" applyFill="1"/>
    <xf numFmtId="0" fontId="9" fillId="18" borderId="0" xfId="0" applyFont="1" applyFill="1" applyAlignment="1">
      <alignment wrapText="1"/>
    </xf>
    <xf numFmtId="44" fontId="0" fillId="18" borderId="0" xfId="2" applyFont="1" applyFill="1" applyAlignment="1"/>
    <xf numFmtId="0" fontId="9" fillId="18" borderId="0" xfId="0" applyFont="1" applyFill="1" applyAlignment="1">
      <alignment horizontal="center" wrapText="1"/>
    </xf>
    <xf numFmtId="165" fontId="9" fillId="9" borderId="0" xfId="1" applyNumberFormat="1" applyFont="1" applyFill="1" applyAlignment="1">
      <alignment horizontal="right"/>
    </xf>
    <xf numFmtId="44" fontId="19" fillId="9" borderId="0" xfId="0" applyNumberFormat="1" applyFont="1" applyFill="1"/>
    <xf numFmtId="0" fontId="10" fillId="19" borderId="0" xfId="0" applyFont="1" applyFill="1"/>
    <xf numFmtId="0" fontId="0" fillId="19" borderId="0" xfId="0" applyFill="1"/>
    <xf numFmtId="0" fontId="0" fillId="5" borderId="0" xfId="0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44" fontId="0" fillId="20" borderId="0" xfId="2" applyFont="1" applyFill="1"/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14" fontId="10" fillId="9" borderId="0" xfId="0" applyNumberFormat="1" applyFont="1" applyFill="1" applyAlignment="1">
      <alignment horizontal="center"/>
    </xf>
    <xf numFmtId="4" fontId="10" fillId="9" borderId="0" xfId="0" applyNumberFormat="1" applyFont="1" applyFill="1" applyAlignment="1">
      <alignment horizontal="right"/>
    </xf>
    <xf numFmtId="4" fontId="10" fillId="9" borderId="0" xfId="0" applyNumberFormat="1" applyFont="1" applyFill="1"/>
    <xf numFmtId="4" fontId="0" fillId="9" borderId="0" xfId="1" applyNumberFormat="1" applyFont="1" applyFill="1"/>
    <xf numFmtId="165" fontId="0" fillId="6" borderId="0" xfId="0" applyNumberFormat="1" applyFill="1" applyAlignment="1" applyProtection="1">
      <alignment horizontal="center"/>
    </xf>
    <xf numFmtId="165" fontId="0" fillId="15" borderId="0" xfId="0" applyNumberFormat="1" applyFill="1" applyAlignment="1" applyProtection="1">
      <alignment horizontal="center"/>
    </xf>
    <xf numFmtId="165" fontId="9" fillId="15" borderId="0" xfId="0" applyNumberFormat="1" applyFont="1" applyFill="1" applyAlignment="1" applyProtection="1">
      <alignment horizontal="center"/>
    </xf>
    <xf numFmtId="0" fontId="0" fillId="5" borderId="20" xfId="0" applyFont="1" applyFill="1" applyBorder="1"/>
    <xf numFmtId="0" fontId="0" fillId="5" borderId="0" xfId="0" applyFont="1" applyFill="1" applyBorder="1"/>
    <xf numFmtId="0" fontId="0" fillId="5" borderId="21" xfId="0" applyFont="1" applyFill="1" applyBorder="1"/>
    <xf numFmtId="44" fontId="11" fillId="21" borderId="0" xfId="4" applyNumberFormat="1" applyFont="1" applyFill="1" applyBorder="1" applyAlignment="1">
      <alignment horizontal="center" vertical="center" wrapText="1"/>
    </xf>
    <xf numFmtId="44" fontId="11" fillId="2" borderId="0" xfId="4" applyNumberFormat="1" applyFont="1" applyFill="1" applyBorder="1" applyAlignment="1">
      <alignment horizontal="center" vertical="center" wrapText="1"/>
    </xf>
    <xf numFmtId="165" fontId="0" fillId="19" borderId="0" xfId="0" applyNumberFormat="1" applyFill="1" applyAlignment="1" applyProtection="1">
      <alignment horizontal="center"/>
    </xf>
    <xf numFmtId="0" fontId="0" fillId="0" borderId="0" xfId="0"/>
    <xf numFmtId="0" fontId="10" fillId="0" borderId="0" xfId="0" applyFont="1"/>
    <xf numFmtId="44" fontId="0" fillId="0" borderId="0" xfId="0" applyNumberFormat="1"/>
    <xf numFmtId="0" fontId="10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44" fontId="0" fillId="6" borderId="0" xfId="0" applyNumberFormat="1" applyFill="1"/>
    <xf numFmtId="0" fontId="0" fillId="0" borderId="0" xfId="0" applyNumberFormat="1" applyAlignment="1" applyProtection="1">
      <alignment horizontal="center"/>
    </xf>
    <xf numFmtId="44" fontId="0" fillId="11" borderId="0" xfId="0" applyNumberFormat="1" applyFill="1"/>
    <xf numFmtId="165" fontId="0" fillId="0" borderId="0" xfId="0" applyNumberFormat="1"/>
    <xf numFmtId="44" fontId="10" fillId="0" borderId="0" xfId="0" applyNumberFormat="1" applyFont="1"/>
    <xf numFmtId="167" fontId="0" fillId="0" borderId="0" xfId="0" applyNumberFormat="1"/>
    <xf numFmtId="0" fontId="0" fillId="0" borderId="0" xfId="0" applyNumberFormat="1" applyProtection="1"/>
    <xf numFmtId="0" fontId="0" fillId="6" borderId="0" xfId="0" applyFont="1" applyFill="1" applyBorder="1"/>
    <xf numFmtId="0" fontId="0" fillId="0" borderId="0" xfId="0" applyFont="1" applyFill="1" applyBorder="1"/>
    <xf numFmtId="0" fontId="10" fillId="9" borderId="0" xfId="0" applyFont="1" applyFill="1"/>
    <xf numFmtId="0" fontId="10" fillId="12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165" fontId="10" fillId="0" borderId="0" xfId="0" applyNumberFormat="1" applyFont="1"/>
    <xf numFmtId="168" fontId="0" fillId="0" borderId="0" xfId="0" applyNumberFormat="1"/>
    <xf numFmtId="0" fontId="9" fillId="15" borderId="0" xfId="0" applyFont="1" applyFill="1"/>
    <xf numFmtId="166" fontId="9" fillId="15" borderId="0" xfId="0" applyNumberFormat="1" applyFont="1" applyFill="1" applyAlignment="1" applyProtection="1">
      <alignment horizontal="center"/>
    </xf>
    <xf numFmtId="167" fontId="9" fillId="15" borderId="0" xfId="0" applyNumberFormat="1" applyFont="1" applyFill="1"/>
    <xf numFmtId="44" fontId="9" fillId="15" borderId="0" xfId="0" applyNumberFormat="1" applyFont="1" applyFill="1"/>
    <xf numFmtId="0" fontId="9" fillId="9" borderId="0" xfId="0" applyFont="1" applyFill="1"/>
    <xf numFmtId="167" fontId="10" fillId="0" borderId="0" xfId="0" applyNumberFormat="1" applyFont="1"/>
    <xf numFmtId="0" fontId="10" fillId="5" borderId="0" xfId="0" applyFont="1" applyFill="1"/>
    <xf numFmtId="0" fontId="0" fillId="5" borderId="0" xfId="0" applyFill="1"/>
    <xf numFmtId="165" fontId="0" fillId="6" borderId="0" xfId="0" applyNumberFormat="1" applyFill="1" applyAlignment="1" applyProtection="1">
      <alignment horizontal="center"/>
    </xf>
    <xf numFmtId="165" fontId="9" fillId="15" borderId="0" xfId="0" applyNumberFormat="1" applyFont="1" applyFill="1" applyAlignment="1" applyProtection="1">
      <alignment horizontal="center"/>
    </xf>
    <xf numFmtId="0" fontId="9" fillId="5" borderId="0" xfId="0" applyFont="1" applyFill="1"/>
    <xf numFmtId="0" fontId="9" fillId="22" borderId="0" xfId="0" applyFont="1" applyFill="1"/>
    <xf numFmtId="0" fontId="0" fillId="22" borderId="0" xfId="0" applyFill="1"/>
    <xf numFmtId="0" fontId="0" fillId="22" borderId="0" xfId="0" applyNumberFormat="1" applyFill="1" applyProtection="1"/>
    <xf numFmtId="165" fontId="10" fillId="22" borderId="0" xfId="0" applyNumberFormat="1" applyFont="1" applyFill="1"/>
    <xf numFmtId="0" fontId="10" fillId="22" borderId="0" xfId="0" applyFont="1" applyFill="1"/>
    <xf numFmtId="0" fontId="0" fillId="22" borderId="26" xfId="0" applyFont="1" applyFill="1" applyBorder="1"/>
    <xf numFmtId="0" fontId="10" fillId="22" borderId="27" xfId="0" applyFont="1" applyFill="1" applyBorder="1"/>
    <xf numFmtId="0" fontId="9" fillId="22" borderId="27" xfId="0" applyFont="1" applyFill="1" applyBorder="1" applyAlignment="1">
      <alignment horizontal="center"/>
    </xf>
    <xf numFmtId="0" fontId="10" fillId="22" borderId="27" xfId="0" applyFont="1" applyFill="1" applyBorder="1" applyAlignment="1">
      <alignment horizontal="right"/>
    </xf>
    <xf numFmtId="0" fontId="0" fillId="22" borderId="28" xfId="0" applyFont="1" applyFill="1" applyBorder="1"/>
    <xf numFmtId="0" fontId="0" fillId="22" borderId="27" xfId="0" applyFont="1" applyFill="1" applyBorder="1"/>
    <xf numFmtId="165" fontId="0" fillId="22" borderId="27" xfId="0" applyNumberFormat="1" applyFill="1" applyBorder="1" applyAlignment="1" applyProtection="1">
      <alignment horizontal="center"/>
    </xf>
    <xf numFmtId="44" fontId="0" fillId="22" borderId="27" xfId="0" applyNumberFormat="1" applyFill="1" applyBorder="1"/>
    <xf numFmtId="44" fontId="0" fillId="22" borderId="28" xfId="0" applyNumberFormat="1" applyFill="1" applyBorder="1"/>
    <xf numFmtId="0" fontId="10" fillId="22" borderId="26" xfId="0" applyFont="1" applyFill="1" applyBorder="1"/>
    <xf numFmtId="0" fontId="0" fillId="22" borderId="27" xfId="0" applyFill="1" applyBorder="1"/>
    <xf numFmtId="0" fontId="0" fillId="22" borderId="27" xfId="0" applyNumberFormat="1" applyFill="1" applyBorder="1" applyProtection="1"/>
    <xf numFmtId="167" fontId="0" fillId="22" borderId="27" xfId="0" applyNumberFormat="1" applyFill="1" applyBorder="1"/>
    <xf numFmtId="165" fontId="0" fillId="22" borderId="27" xfId="0" applyNumberFormat="1" applyFill="1" applyBorder="1"/>
    <xf numFmtId="165" fontId="0" fillId="22" borderId="28" xfId="0" applyNumberFormat="1" applyFill="1" applyBorder="1"/>
    <xf numFmtId="165" fontId="0" fillId="22" borderId="0" xfId="0" applyNumberFormat="1" applyFill="1"/>
    <xf numFmtId="44" fontId="0" fillId="22" borderId="0" xfId="0" applyNumberFormat="1" applyFill="1"/>
    <xf numFmtId="0" fontId="0" fillId="22" borderId="0" xfId="0" applyFill="1" applyBorder="1"/>
    <xf numFmtId="168" fontId="0" fillId="22" borderId="0" xfId="0" applyNumberFormat="1" applyFill="1"/>
    <xf numFmtId="0" fontId="0" fillId="22" borderId="16" xfId="0" applyFont="1" applyFill="1" applyBorder="1"/>
    <xf numFmtId="0" fontId="10" fillId="22" borderId="15" xfId="0" applyFont="1" applyFill="1" applyBorder="1"/>
    <xf numFmtId="0" fontId="9" fillId="22" borderId="15" xfId="0" applyFont="1" applyFill="1" applyBorder="1" applyAlignment="1">
      <alignment horizontal="center"/>
    </xf>
    <xf numFmtId="0" fontId="0" fillId="22" borderId="17" xfId="0" applyFont="1" applyFill="1" applyBorder="1"/>
    <xf numFmtId="0" fontId="0" fillId="22" borderId="15" xfId="0" applyFont="1" applyFill="1" applyBorder="1"/>
    <xf numFmtId="165" fontId="0" fillId="22" borderId="15" xfId="0" applyNumberFormat="1" applyFill="1" applyBorder="1" applyAlignment="1" applyProtection="1">
      <alignment horizontal="center"/>
    </xf>
    <xf numFmtId="164" fontId="0" fillId="22" borderId="15" xfId="0" applyNumberFormat="1" applyFill="1" applyBorder="1"/>
    <xf numFmtId="168" fontId="0" fillId="22" borderId="15" xfId="0" applyNumberFormat="1" applyFill="1" applyBorder="1"/>
    <xf numFmtId="44" fontId="0" fillId="22" borderId="15" xfId="0" applyNumberFormat="1" applyFill="1" applyBorder="1"/>
    <xf numFmtId="0" fontId="0" fillId="22" borderId="20" xfId="0" applyFont="1" applyFill="1" applyBorder="1"/>
    <xf numFmtId="0" fontId="10" fillId="22" borderId="0" xfId="0" applyFont="1" applyFill="1" applyBorder="1"/>
    <xf numFmtId="0" fontId="9" fillId="22" borderId="0" xfId="0" applyFont="1" applyFill="1" applyBorder="1" applyAlignment="1">
      <alignment horizontal="center"/>
    </xf>
    <xf numFmtId="0" fontId="0" fillId="22" borderId="21" xfId="0" applyFont="1" applyFill="1" applyBorder="1"/>
    <xf numFmtId="0" fontId="0" fillId="22" borderId="0" xfId="0" applyFont="1" applyFill="1" applyBorder="1"/>
    <xf numFmtId="165" fontId="0" fillId="22" borderId="0" xfId="0" applyNumberFormat="1" applyFill="1" applyBorder="1" applyAlignment="1" applyProtection="1">
      <alignment horizontal="center"/>
    </xf>
    <xf numFmtId="164" fontId="0" fillId="22" borderId="0" xfId="0" applyNumberFormat="1" applyFill="1" applyBorder="1"/>
    <xf numFmtId="168" fontId="0" fillId="22" borderId="0" xfId="0" applyNumberFormat="1" applyFill="1" applyBorder="1"/>
    <xf numFmtId="44" fontId="0" fillId="22" borderId="0" xfId="0" applyNumberFormat="1" applyFill="1" applyBorder="1"/>
    <xf numFmtId="0" fontId="0" fillId="22" borderId="18" xfId="0" applyFont="1" applyFill="1" applyBorder="1"/>
    <xf numFmtId="0" fontId="10" fillId="22" borderId="5" xfId="0" applyFont="1" applyFill="1" applyBorder="1"/>
    <xf numFmtId="0" fontId="9" fillId="22" borderId="5" xfId="0" applyFont="1" applyFill="1" applyBorder="1" applyAlignment="1">
      <alignment horizontal="center"/>
    </xf>
    <xf numFmtId="0" fontId="10" fillId="22" borderId="18" xfId="0" applyFont="1" applyFill="1" applyBorder="1"/>
    <xf numFmtId="0" fontId="10" fillId="22" borderId="19" xfId="0" applyFont="1" applyFill="1" applyBorder="1"/>
    <xf numFmtId="165" fontId="0" fillId="22" borderId="5" xfId="0" applyNumberFormat="1" applyFill="1" applyBorder="1" applyAlignment="1" applyProtection="1">
      <alignment horizontal="center"/>
    </xf>
    <xf numFmtId="164" fontId="0" fillId="22" borderId="5" xfId="0" applyNumberFormat="1" applyFill="1" applyBorder="1"/>
    <xf numFmtId="168" fontId="0" fillId="22" borderId="5" xfId="0" applyNumberFormat="1" applyFill="1" applyBorder="1"/>
    <xf numFmtId="44" fontId="0" fillId="22" borderId="5" xfId="0" applyNumberFormat="1" applyFill="1" applyBorder="1"/>
    <xf numFmtId="0" fontId="9" fillId="22" borderId="0" xfId="0" applyFont="1" applyFill="1" applyAlignment="1">
      <alignment horizontal="center"/>
    </xf>
    <xf numFmtId="0" fontId="0" fillId="22" borderId="26" xfId="0" applyFill="1" applyBorder="1"/>
    <xf numFmtId="0" fontId="0" fillId="22" borderId="28" xfId="0" applyFill="1" applyBorder="1"/>
    <xf numFmtId="164" fontId="9" fillId="15" borderId="0" xfId="0" applyNumberFormat="1" applyFont="1" applyFill="1"/>
    <xf numFmtId="0" fontId="10" fillId="0" borderId="0" xfId="0" applyNumberFormat="1" applyFont="1" applyProtection="1"/>
    <xf numFmtId="166" fontId="10" fillId="0" borderId="0" xfId="0" applyNumberFormat="1" applyFont="1" applyProtection="1"/>
    <xf numFmtId="164" fontId="10" fillId="22" borderId="27" xfId="0" applyNumberFormat="1" applyFont="1" applyFill="1" applyBorder="1"/>
    <xf numFmtId="44" fontId="10" fillId="11" borderId="0" xfId="0" applyNumberFormat="1" applyFont="1" applyFill="1"/>
    <xf numFmtId="44" fontId="10" fillId="22" borderId="0" xfId="0" applyNumberFormat="1" applyFont="1" applyFill="1"/>
    <xf numFmtId="0" fontId="9" fillId="6" borderId="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0" fillId="22" borderId="16" xfId="0" applyFont="1" applyFill="1" applyBorder="1"/>
    <xf numFmtId="0" fontId="0" fillId="22" borderId="15" xfId="0" applyFill="1" applyBorder="1"/>
    <xf numFmtId="0" fontId="9" fillId="22" borderId="17" xfId="0" applyFont="1" applyFill="1" applyBorder="1" applyAlignment="1">
      <alignment horizontal="center"/>
    </xf>
    <xf numFmtId="0" fontId="0" fillId="22" borderId="17" xfId="0" applyFill="1" applyBorder="1"/>
    <xf numFmtId="0" fontId="0" fillId="22" borderId="20" xfId="0" applyFill="1" applyBorder="1"/>
    <xf numFmtId="0" fontId="9" fillId="22" borderId="21" xfId="0" applyFont="1" applyFill="1" applyBorder="1" applyAlignment="1">
      <alignment horizontal="center"/>
    </xf>
    <xf numFmtId="165" fontId="0" fillId="22" borderId="27" xfId="0" applyNumberFormat="1" applyFill="1" applyBorder="1" applyProtection="1"/>
    <xf numFmtId="167" fontId="0" fillId="22" borderId="0" xfId="0" applyNumberFormat="1" applyFill="1"/>
    <xf numFmtId="44" fontId="10" fillId="22" borderId="27" xfId="0" applyNumberFormat="1" applyFont="1" applyFill="1" applyBorder="1"/>
    <xf numFmtId="44" fontId="10" fillId="22" borderId="28" xfId="0" applyNumberFormat="1" applyFont="1" applyFill="1" applyBorder="1"/>
    <xf numFmtId="44" fontId="0" fillId="0" borderId="0" xfId="0" applyNumberFormat="1" applyBorder="1"/>
    <xf numFmtId="0" fontId="23" fillId="0" borderId="30" xfId="0" applyFont="1" applyBorder="1" applyAlignment="1">
      <alignment horizontal="center"/>
    </xf>
    <xf numFmtId="0" fontId="23" fillId="9" borderId="30" xfId="0" applyFont="1" applyFill="1" applyBorder="1" applyAlignment="1">
      <alignment horizontal="center"/>
    </xf>
    <xf numFmtId="49" fontId="23" fillId="0" borderId="32" xfId="0" applyNumberFormat="1" applyFont="1" applyFill="1" applyBorder="1" applyAlignment="1">
      <alignment horizontal="center"/>
    </xf>
    <xf numFmtId="49" fontId="23" fillId="9" borderId="32" xfId="0" applyNumberFormat="1" applyFont="1" applyFill="1" applyBorder="1" applyAlignment="1">
      <alignment horizontal="center"/>
    </xf>
    <xf numFmtId="44" fontId="23" fillId="9" borderId="30" xfId="0" applyNumberFormat="1" applyFont="1" applyFill="1" applyBorder="1"/>
    <xf numFmtId="44" fontId="23" fillId="9" borderId="31" xfId="0" applyNumberFormat="1" applyFont="1" applyFill="1" applyBorder="1"/>
    <xf numFmtId="0" fontId="23" fillId="6" borderId="29" xfId="0" applyNumberFormat="1" applyFont="1" applyFill="1" applyBorder="1" applyAlignment="1" applyProtection="1">
      <alignment horizontal="center"/>
    </xf>
    <xf numFmtId="44" fontId="23" fillId="6" borderId="29" xfId="0" applyNumberFormat="1" applyFont="1" applyFill="1" applyBorder="1"/>
    <xf numFmtId="168" fontId="0" fillId="9" borderId="0" xfId="0" applyNumberFormat="1" applyFill="1"/>
    <xf numFmtId="0" fontId="23" fillId="9" borderId="0" xfId="0" applyNumberFormat="1" applyFont="1" applyFill="1" applyBorder="1" applyAlignment="1" applyProtection="1">
      <alignment horizontal="center"/>
    </xf>
    <xf numFmtId="0" fontId="0" fillId="9" borderId="21" xfId="0" applyFill="1" applyBorder="1" applyAlignment="1">
      <alignment horizontal="center" wrapText="1"/>
    </xf>
    <xf numFmtId="0" fontId="0" fillId="9" borderId="29" xfId="0" applyFill="1" applyBorder="1" applyAlignment="1">
      <alignment horizontal="center" wrapText="1"/>
    </xf>
    <xf numFmtId="0" fontId="0" fillId="9" borderId="21" xfId="0" applyFill="1" applyBorder="1"/>
    <xf numFmtId="165" fontId="0" fillId="0" borderId="15" xfId="0" applyNumberFormat="1" applyBorder="1"/>
    <xf numFmtId="165" fontId="0" fillId="9" borderId="21" xfId="0" applyNumberFormat="1" applyFill="1" applyBorder="1"/>
    <xf numFmtId="0" fontId="23" fillId="6" borderId="15" xfId="0" applyFont="1" applyFill="1" applyBorder="1"/>
    <xf numFmtId="165" fontId="23" fillId="6" borderId="15" xfId="0" applyNumberFormat="1" applyFont="1" applyFill="1" applyBorder="1"/>
    <xf numFmtId="44" fontId="0" fillId="0" borderId="5" xfId="0" applyNumberFormat="1" applyBorder="1"/>
    <xf numFmtId="0" fontId="0" fillId="0" borderId="5" xfId="0" applyBorder="1"/>
    <xf numFmtId="44" fontId="0" fillId="0" borderId="26" xfId="0" applyNumberFormat="1" applyBorder="1"/>
    <xf numFmtId="0" fontId="0" fillId="0" borderId="28" xfId="0" applyBorder="1" applyAlignment="1">
      <alignment horizontal="center"/>
    </xf>
    <xf numFmtId="0" fontId="23" fillId="9" borderId="21" xfId="0" applyFont="1" applyFill="1" applyBorder="1" applyAlignment="1"/>
    <xf numFmtId="165" fontId="0" fillId="0" borderId="18" xfId="0" applyNumberFormat="1" applyBorder="1"/>
    <xf numFmtId="0" fontId="0" fillId="0" borderId="19" xfId="0" applyBorder="1" applyAlignment="1">
      <alignment horizontal="center"/>
    </xf>
    <xf numFmtId="44" fontId="23" fillId="9" borderId="0" xfId="0" applyNumberFormat="1" applyFont="1" applyFill="1" applyBorder="1" applyAlignment="1">
      <alignment horizontal="center"/>
    </xf>
    <xf numFmtId="165" fontId="0" fillId="20" borderId="0" xfId="2" applyNumberFormat="1" applyFont="1" applyFill="1"/>
    <xf numFmtId="0" fontId="0" fillId="22" borderId="0" xfId="0" applyNumberFormat="1" applyFill="1" applyBorder="1" applyAlignment="1" applyProtection="1">
      <alignment horizontal="center"/>
    </xf>
    <xf numFmtId="164" fontId="10" fillId="22" borderId="0" xfId="0" applyNumberFormat="1" applyFont="1" applyFill="1" applyBorder="1"/>
    <xf numFmtId="0" fontId="10" fillId="22" borderId="28" xfId="0" applyFont="1" applyFill="1" applyBorder="1"/>
    <xf numFmtId="7" fontId="9" fillId="0" borderId="0" xfId="0" applyNumberFormat="1" applyFont="1"/>
    <xf numFmtId="0" fontId="0" fillId="0" borderId="29" xfId="0" applyNumberFormat="1" applyBorder="1" applyAlignment="1" applyProtection="1">
      <alignment horizontal="center"/>
    </xf>
    <xf numFmtId="170" fontId="10" fillId="9" borderId="0" xfId="0" applyNumberFormat="1" applyFont="1" applyFill="1" applyBorder="1"/>
    <xf numFmtId="44" fontId="0" fillId="0" borderId="18" xfId="0" applyNumberFormat="1" applyBorder="1"/>
    <xf numFmtId="44" fontId="23" fillId="6" borderId="26" xfId="0" applyNumberFormat="1" applyFont="1" applyFill="1" applyBorder="1" applyAlignment="1" applyProtection="1">
      <alignment horizontal="center"/>
    </xf>
    <xf numFmtId="0" fontId="23" fillId="9" borderId="0" xfId="0" applyFont="1" applyFill="1" applyBorder="1" applyAlignment="1">
      <alignment horizontal="center"/>
    </xf>
    <xf numFmtId="49" fontId="0" fillId="9" borderId="0" xfId="0" applyNumberFormat="1" applyFill="1" applyBorder="1" applyAlignment="1">
      <alignment horizontal="center"/>
    </xf>
    <xf numFmtId="49" fontId="23" fillId="9" borderId="0" xfId="0" applyNumberFormat="1" applyFont="1" applyFill="1" applyBorder="1" applyAlignment="1">
      <alignment horizontal="center"/>
    </xf>
    <xf numFmtId="0" fontId="0" fillId="9" borderId="0" xfId="0" applyNumberFormat="1" applyFill="1" applyBorder="1" applyAlignment="1" applyProtection="1">
      <alignment horizontal="center"/>
    </xf>
    <xf numFmtId="44" fontId="0" fillId="9" borderId="20" xfId="0" applyNumberFormat="1" applyFill="1" applyBorder="1" applyAlignment="1"/>
    <xf numFmtId="49" fontId="0" fillId="9" borderId="20" xfId="0" applyNumberFormat="1" applyFill="1" applyBorder="1" applyAlignment="1">
      <alignment horizontal="center"/>
    </xf>
    <xf numFmtId="0" fontId="0" fillId="0" borderId="30" xfId="0" applyNumberFormat="1" applyBorder="1" applyAlignment="1" applyProtection="1">
      <alignment horizontal="center"/>
    </xf>
    <xf numFmtId="0" fontId="0" fillId="0" borderId="31" xfId="0" applyNumberFormat="1" applyBorder="1" applyAlignment="1" applyProtection="1">
      <alignment horizontal="center"/>
    </xf>
    <xf numFmtId="44" fontId="0" fillId="9" borderId="0" xfId="0" applyNumberFormat="1" applyFill="1" applyBorder="1" applyAlignment="1">
      <alignment horizontal="center"/>
    </xf>
    <xf numFmtId="171" fontId="23" fillId="6" borderId="15" xfId="0" applyNumberFormat="1" applyFont="1" applyFill="1" applyBorder="1"/>
    <xf numFmtId="0" fontId="0" fillId="9" borderId="30" xfId="0" applyFill="1" applyBorder="1"/>
    <xf numFmtId="0" fontId="0" fillId="9" borderId="31" xfId="0" applyFill="1" applyBorder="1"/>
    <xf numFmtId="0" fontId="0" fillId="9" borderId="32" xfId="0" applyFill="1" applyBorder="1"/>
    <xf numFmtId="165" fontId="0" fillId="9" borderId="30" xfId="0" applyNumberFormat="1" applyFill="1" applyBorder="1"/>
    <xf numFmtId="165" fontId="0" fillId="9" borderId="31" xfId="0" applyNumberFormat="1" applyFill="1" applyBorder="1"/>
    <xf numFmtId="165" fontId="0" fillId="9" borderId="32" xfId="0" applyNumberFormat="1" applyFill="1" applyBorder="1"/>
    <xf numFmtId="165" fontId="0" fillId="0" borderId="31" xfId="0" applyNumberFormat="1" applyBorder="1"/>
    <xf numFmtId="165" fontId="0" fillId="0" borderId="32" xfId="0" applyNumberFormat="1" applyBorder="1"/>
    <xf numFmtId="0" fontId="0" fillId="0" borderId="21" xfId="0" applyBorder="1"/>
    <xf numFmtId="0" fontId="12" fillId="0" borderId="20" xfId="0" applyFont="1" applyFill="1" applyBorder="1"/>
    <xf numFmtId="0" fontId="9" fillId="0" borderId="0" xfId="0" applyFont="1" applyBorder="1" applyAlignment="1">
      <alignment horizontal="center"/>
    </xf>
    <xf numFmtId="0" fontId="10" fillId="19" borderId="20" xfId="0" applyFont="1" applyFill="1" applyBorder="1" applyAlignment="1"/>
    <xf numFmtId="0" fontId="0" fillId="9" borderId="20" xfId="0" applyFont="1" applyFill="1" applyBorder="1" applyAlignment="1"/>
    <xf numFmtId="0" fontId="0" fillId="9" borderId="0" xfId="0" applyFont="1" applyFill="1" applyBorder="1" applyAlignment="1"/>
    <xf numFmtId="165" fontId="23" fillId="0" borderId="0" xfId="0" applyNumberFormat="1" applyFont="1" applyBorder="1"/>
    <xf numFmtId="0" fontId="0" fillId="0" borderId="20" xfId="0" applyBorder="1"/>
    <xf numFmtId="0" fontId="23" fillId="9" borderId="20" xfId="0" applyFont="1" applyFill="1" applyBorder="1" applyAlignment="1"/>
    <xf numFmtId="0" fontId="0" fillId="0" borderId="18" xfId="0" applyBorder="1"/>
    <xf numFmtId="0" fontId="0" fillId="0" borderId="19" xfId="0" applyBorder="1"/>
    <xf numFmtId="0" fontId="23" fillId="9" borderId="18" xfId="0" applyFont="1" applyFill="1" applyBorder="1" applyAlignment="1">
      <alignment horizontal="right"/>
    </xf>
    <xf numFmtId="0" fontId="23" fillId="9" borderId="5" xfId="0" applyFont="1" applyFill="1" applyBorder="1" applyAlignment="1">
      <alignment horizontal="right"/>
    </xf>
    <xf numFmtId="44" fontId="23" fillId="9" borderId="5" xfId="0" applyNumberFormat="1" applyFont="1" applyFill="1" applyBorder="1" applyAlignment="1">
      <alignment horizontal="center"/>
    </xf>
    <xf numFmtId="0" fontId="0" fillId="9" borderId="5" xfId="0" applyFill="1" applyBorder="1"/>
    <xf numFmtId="0" fontId="0" fillId="9" borderId="19" xfId="0" applyFill="1" applyBorder="1"/>
    <xf numFmtId="0" fontId="23" fillId="9" borderId="0" xfId="0" applyFont="1" applyFill="1" applyBorder="1" applyAlignment="1">
      <alignment horizontal="right"/>
    </xf>
    <xf numFmtId="0" fontId="0" fillId="9" borderId="20" xfId="0" applyFill="1" applyBorder="1" applyAlignment="1">
      <alignment horizontal="left" wrapText="1"/>
    </xf>
    <xf numFmtId="0" fontId="32" fillId="9" borderId="20" xfId="0" applyFont="1" applyFill="1" applyBorder="1"/>
    <xf numFmtId="44" fontId="32" fillId="9" borderId="0" xfId="0" applyNumberFormat="1" applyFont="1" applyFill="1" applyBorder="1"/>
    <xf numFmtId="44" fontId="33" fillId="9" borderId="0" xfId="0" applyNumberFormat="1" applyFont="1" applyFill="1" applyBorder="1"/>
    <xf numFmtId="0" fontId="32" fillId="9" borderId="0" xfId="0" applyFont="1" applyFill="1" applyBorder="1"/>
    <xf numFmtId="44" fontId="32" fillId="9" borderId="0" xfId="0" applyNumberFormat="1" applyFont="1" applyFill="1" applyBorder="1" applyAlignment="1" applyProtection="1">
      <alignment horizontal="center"/>
    </xf>
    <xf numFmtId="44" fontId="32" fillId="0" borderId="0" xfId="0" applyNumberFormat="1" applyFont="1" applyBorder="1"/>
    <xf numFmtId="44" fontId="33" fillId="9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44" fontId="0" fillId="0" borderId="30" xfId="0" applyNumberFormat="1" applyBorder="1"/>
    <xf numFmtId="44" fontId="0" fillId="0" borderId="31" xfId="0" applyNumberFormat="1" applyBorder="1"/>
    <xf numFmtId="44" fontId="0" fillId="0" borderId="32" xfId="0" applyNumberFormat="1" applyBorder="1"/>
    <xf numFmtId="0" fontId="10" fillId="9" borderId="20" xfId="0" applyFont="1" applyFill="1" applyBorder="1" applyAlignment="1"/>
    <xf numFmtId="170" fontId="0" fillId="9" borderId="0" xfId="0" applyNumberFormat="1" applyFont="1" applyFill="1" applyBorder="1"/>
    <xf numFmtId="0" fontId="23" fillId="9" borderId="0" xfId="0" applyFont="1" applyFill="1" applyBorder="1" applyAlignment="1"/>
    <xf numFmtId="0" fontId="10" fillId="0" borderId="2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4" fillId="0" borderId="30" xfId="0" applyNumberFormat="1" applyFont="1" applyBorder="1" applyAlignment="1" applyProtection="1">
      <alignment horizontal="center"/>
    </xf>
    <xf numFmtId="44" fontId="34" fillId="9" borderId="30" xfId="0" applyNumberFormat="1" applyFont="1" applyFill="1" applyBorder="1"/>
    <xf numFmtId="0" fontId="34" fillId="0" borderId="31" xfId="0" applyNumberFormat="1" applyFont="1" applyBorder="1" applyAlignment="1" applyProtection="1">
      <alignment horizontal="center"/>
    </xf>
    <xf numFmtId="44" fontId="34" fillId="9" borderId="31" xfId="0" applyNumberFormat="1" applyFont="1" applyFill="1" applyBorder="1"/>
    <xf numFmtId="44" fontId="34" fillId="9" borderId="32" xfId="0" applyNumberFormat="1" applyFont="1" applyFill="1" applyBorder="1"/>
    <xf numFmtId="164" fontId="0" fillId="19" borderId="0" xfId="0" applyNumberFormat="1" applyFont="1" applyFill="1" applyBorder="1"/>
    <xf numFmtId="164" fontId="10" fillId="9" borderId="0" xfId="0" applyNumberFormat="1" applyFont="1" applyFill="1" applyBorder="1"/>
    <xf numFmtId="165" fontId="9" fillId="22" borderId="27" xfId="0" applyNumberFormat="1" applyFont="1" applyFill="1" applyBorder="1"/>
    <xf numFmtId="165" fontId="9" fillId="22" borderId="0" xfId="0" applyNumberFormat="1" applyFont="1" applyFill="1"/>
    <xf numFmtId="0" fontId="0" fillId="0" borderId="17" xfId="0" applyBorder="1"/>
    <xf numFmtId="171" fontId="23" fillId="6" borderId="26" xfId="0" applyNumberFormat="1" applyFont="1" applyFill="1" applyBorder="1"/>
    <xf numFmtId="0" fontId="23" fillId="6" borderId="27" xfId="0" applyFont="1" applyFill="1" applyBorder="1"/>
    <xf numFmtId="165" fontId="23" fillId="6" borderId="28" xfId="0" applyNumberFormat="1" applyFont="1" applyFill="1" applyBorder="1"/>
    <xf numFmtId="44" fontId="23" fillId="9" borderId="20" xfId="0" applyNumberFormat="1" applyFont="1" applyFill="1" applyBorder="1"/>
    <xf numFmtId="0" fontId="0" fillId="9" borderId="0" xfId="0" applyFont="1" applyFill="1"/>
    <xf numFmtId="0" fontId="0" fillId="0" borderId="0" xfId="0" applyFill="1" applyBorder="1"/>
    <xf numFmtId="0" fontId="35" fillId="0" borderId="0" xfId="5"/>
    <xf numFmtId="44" fontId="10" fillId="5" borderId="0" xfId="2" applyFont="1" applyFill="1"/>
    <xf numFmtId="0" fontId="10" fillId="12" borderId="0" xfId="0" applyFont="1" applyFill="1" applyBorder="1" applyAlignment="1">
      <alignment horizontal="right"/>
    </xf>
    <xf numFmtId="0" fontId="10" fillId="0" borderId="10" xfId="0" applyFont="1" applyBorder="1"/>
    <xf numFmtId="0" fontId="0" fillId="22" borderId="16" xfId="0" applyFill="1" applyBorder="1"/>
    <xf numFmtId="165" fontId="10" fillId="19" borderId="0" xfId="0" applyNumberFormat="1" applyFont="1" applyFill="1" applyAlignment="1" applyProtection="1">
      <alignment horizontal="center"/>
    </xf>
    <xf numFmtId="0" fontId="0" fillId="22" borderId="30" xfId="0" applyFont="1" applyFill="1" applyBorder="1" applyAlignment="1">
      <alignment horizontal="right"/>
    </xf>
    <xf numFmtId="0" fontId="0" fillId="22" borderId="31" xfId="0" applyFont="1" applyFill="1" applyBorder="1" applyAlignment="1">
      <alignment horizontal="right"/>
    </xf>
    <xf numFmtId="0" fontId="0" fillId="22" borderId="32" xfId="0" applyNumberFormat="1" applyFill="1" applyBorder="1" applyAlignment="1" applyProtection="1">
      <alignment horizontal="right"/>
    </xf>
    <xf numFmtId="0" fontId="0" fillId="22" borderId="29" xfId="0" applyFill="1" applyBorder="1"/>
    <xf numFmtId="0" fontId="0" fillId="22" borderId="29" xfId="0" applyFont="1" applyFill="1" applyBorder="1"/>
    <xf numFmtId="164" fontId="0" fillId="22" borderId="27" xfId="0" applyNumberFormat="1" applyFill="1" applyBorder="1"/>
    <xf numFmtId="164" fontId="10" fillId="22" borderId="0" xfId="0" applyNumberFormat="1" applyFont="1" applyFill="1"/>
    <xf numFmtId="164" fontId="0" fillId="22" borderId="0" xfId="0" applyNumberFormat="1" applyFill="1"/>
    <xf numFmtId="0" fontId="0" fillId="22" borderId="29" xfId="0" applyNumberFormat="1" applyFill="1" applyBorder="1" applyAlignment="1" applyProtection="1">
      <alignment horizontal="right"/>
    </xf>
    <xf numFmtId="0" fontId="0" fillId="12" borderId="0" xfId="0" applyNumberFormat="1" applyFill="1" applyAlignment="1" applyProtection="1">
      <alignment horizontal="center"/>
    </xf>
    <xf numFmtId="0" fontId="10" fillId="0" borderId="0" xfId="0" applyFont="1" applyBorder="1"/>
    <xf numFmtId="0" fontId="10" fillId="9" borderId="0" xfId="0" applyFont="1" applyFill="1" applyBorder="1" applyAlignment="1">
      <alignment horizontal="right"/>
    </xf>
    <xf numFmtId="0" fontId="0" fillId="22" borderId="15" xfId="0" applyFont="1" applyFill="1" applyBorder="1" applyAlignment="1">
      <alignment horizontal="right"/>
    </xf>
    <xf numFmtId="0" fontId="0" fillId="22" borderId="0" xfId="0" applyFont="1" applyFill="1" applyBorder="1" applyAlignment="1">
      <alignment horizontal="right"/>
    </xf>
    <xf numFmtId="0" fontId="0" fillId="22" borderId="5" xfId="0" applyNumberFormat="1" applyFill="1" applyBorder="1" applyAlignment="1" applyProtection="1">
      <alignment horizontal="right"/>
    </xf>
    <xf numFmtId="0" fontId="0" fillId="22" borderId="27" xfId="0" applyNumberFormat="1" applyFill="1" applyBorder="1" applyAlignment="1" applyProtection="1">
      <alignment horizontal="right"/>
    </xf>
    <xf numFmtId="165" fontId="0" fillId="0" borderId="0" xfId="0" applyNumberFormat="1" applyAlignment="1" applyProtection="1">
      <alignment horizontal="center"/>
    </xf>
    <xf numFmtId="172" fontId="0" fillId="0" borderId="0" xfId="0" applyNumberFormat="1"/>
    <xf numFmtId="164" fontId="0" fillId="9" borderId="0" xfId="0" applyNumberFormat="1" applyFill="1"/>
    <xf numFmtId="0" fontId="25" fillId="12" borderId="0" xfId="0" applyFont="1" applyFill="1"/>
    <xf numFmtId="0" fontId="0" fillId="9" borderId="20" xfId="0" applyFill="1" applyBorder="1"/>
    <xf numFmtId="164" fontId="10" fillId="0" borderId="0" xfId="0" applyNumberFormat="1" applyFont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 applyProtection="1">
      <alignment horizontal="center"/>
    </xf>
    <xf numFmtId="167" fontId="0" fillId="0" borderId="0" xfId="0" applyNumberFormat="1"/>
    <xf numFmtId="0" fontId="10" fillId="9" borderId="0" xfId="0" applyFont="1" applyFill="1" applyBorder="1"/>
    <xf numFmtId="44" fontId="0" fillId="9" borderId="0" xfId="0" applyNumberFormat="1" applyFill="1"/>
    <xf numFmtId="0" fontId="0" fillId="9" borderId="0" xfId="0" applyFill="1" applyBorder="1"/>
    <xf numFmtId="0" fontId="9" fillId="9" borderId="0" xfId="0" applyFont="1" applyFill="1"/>
    <xf numFmtId="165" fontId="0" fillId="9" borderId="0" xfId="0" applyNumberFormat="1" applyFill="1" applyBorder="1"/>
    <xf numFmtId="44" fontId="11" fillId="19" borderId="22" xfId="4" applyNumberFormat="1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wrapText="1"/>
    </xf>
    <xf numFmtId="44" fontId="9" fillId="9" borderId="0" xfId="0" applyNumberFormat="1" applyFont="1" applyFill="1"/>
    <xf numFmtId="44" fontId="0" fillId="19" borderId="10" xfId="0" applyNumberFormat="1" applyFill="1" applyBorder="1"/>
    <xf numFmtId="0" fontId="0" fillId="19" borderId="0" xfId="0" applyFill="1" applyBorder="1"/>
    <xf numFmtId="0" fontId="0" fillId="19" borderId="11" xfId="0" applyFill="1" applyBorder="1"/>
    <xf numFmtId="44" fontId="10" fillId="19" borderId="10" xfId="0" applyNumberFormat="1" applyFont="1" applyFill="1" applyBorder="1"/>
    <xf numFmtId="44" fontId="0" fillId="19" borderId="34" xfId="0" applyNumberFormat="1" applyFill="1" applyBorder="1"/>
    <xf numFmtId="44" fontId="0" fillId="19" borderId="33" xfId="0" applyNumberFormat="1" applyFill="1" applyBorder="1"/>
    <xf numFmtId="0" fontId="0" fillId="19" borderId="33" xfId="0" applyFill="1" applyBorder="1"/>
    <xf numFmtId="44" fontId="0" fillId="19" borderId="36" xfId="0" applyNumberFormat="1" applyFill="1" applyBorder="1"/>
    <xf numFmtId="44" fontId="0" fillId="19" borderId="31" xfId="0" applyNumberFormat="1" applyFill="1" applyBorder="1"/>
    <xf numFmtId="0" fontId="0" fillId="19" borderId="31" xfId="0" applyFill="1" applyBorder="1"/>
    <xf numFmtId="0" fontId="0" fillId="19" borderId="37" xfId="0" applyFill="1" applyBorder="1"/>
    <xf numFmtId="44" fontId="0" fillId="19" borderId="37" xfId="0" applyNumberFormat="1" applyFill="1" applyBorder="1"/>
    <xf numFmtId="44" fontId="10" fillId="19" borderId="36" xfId="0" applyNumberFormat="1" applyFont="1" applyFill="1" applyBorder="1"/>
    <xf numFmtId="44" fontId="10" fillId="19" borderId="37" xfId="0" applyNumberFormat="1" applyFont="1" applyFill="1" applyBorder="1"/>
    <xf numFmtId="0" fontId="10" fillId="19" borderId="31" xfId="0" applyFont="1" applyFill="1" applyBorder="1"/>
    <xf numFmtId="44" fontId="10" fillId="19" borderId="31" xfId="0" applyNumberFormat="1" applyFont="1" applyFill="1" applyBorder="1"/>
    <xf numFmtId="44" fontId="9" fillId="19" borderId="38" xfId="0" applyNumberFormat="1" applyFont="1" applyFill="1" applyBorder="1"/>
    <xf numFmtId="44" fontId="9" fillId="19" borderId="39" xfId="0" applyNumberFormat="1" applyFont="1" applyFill="1" applyBorder="1"/>
    <xf numFmtId="0" fontId="9" fillId="19" borderId="39" xfId="0" applyFont="1" applyFill="1" applyBorder="1"/>
    <xf numFmtId="44" fontId="9" fillId="19" borderId="40" xfId="0" applyNumberFormat="1" applyFont="1" applyFill="1" applyBorder="1"/>
    <xf numFmtId="0" fontId="10" fillId="19" borderId="33" xfId="0" applyFont="1" applyFill="1" applyBorder="1"/>
    <xf numFmtId="44" fontId="10" fillId="19" borderId="33" xfId="0" applyNumberFormat="1" applyFont="1" applyFill="1" applyBorder="1"/>
    <xf numFmtId="44" fontId="10" fillId="19" borderId="34" xfId="0" applyNumberFormat="1" applyFont="1" applyFill="1" applyBorder="1"/>
    <xf numFmtId="44" fontId="10" fillId="19" borderId="35" xfId="0" applyNumberFormat="1" applyFont="1" applyFill="1" applyBorder="1"/>
    <xf numFmtId="44" fontId="10" fillId="19" borderId="41" xfId="0" applyNumberFormat="1" applyFont="1" applyFill="1" applyBorder="1"/>
    <xf numFmtId="44" fontId="10" fillId="19" borderId="30" xfId="0" applyNumberFormat="1" applyFont="1" applyFill="1" applyBorder="1"/>
    <xf numFmtId="0" fontId="10" fillId="19" borderId="30" xfId="0" applyFont="1" applyFill="1" applyBorder="1"/>
    <xf numFmtId="44" fontId="10" fillId="19" borderId="42" xfId="0" applyNumberFormat="1" applyFont="1" applyFill="1" applyBorder="1"/>
    <xf numFmtId="44" fontId="10" fillId="19" borderId="43" xfId="0" applyNumberFormat="1" applyFont="1" applyFill="1" applyBorder="1"/>
    <xf numFmtId="44" fontId="10" fillId="19" borderId="21" xfId="0" applyNumberFormat="1" applyFont="1" applyFill="1" applyBorder="1"/>
    <xf numFmtId="44" fontId="0" fillId="19" borderId="21" xfId="0" applyNumberFormat="1" applyFill="1" applyBorder="1"/>
    <xf numFmtId="44" fontId="10" fillId="19" borderId="17" xfId="0" applyNumberFormat="1" applyFont="1" applyFill="1" applyBorder="1"/>
    <xf numFmtId="44" fontId="9" fillId="19" borderId="44" xfId="0" applyNumberFormat="1" applyFont="1" applyFill="1" applyBorder="1"/>
    <xf numFmtId="44" fontId="10" fillId="9" borderId="0" xfId="0" applyNumberFormat="1" applyFont="1" applyFill="1" applyBorder="1"/>
    <xf numFmtId="165" fontId="0" fillId="19" borderId="35" xfId="0" applyNumberFormat="1" applyFill="1" applyBorder="1"/>
    <xf numFmtId="7" fontId="0" fillId="19" borderId="37" xfId="0" applyNumberFormat="1" applyFill="1" applyBorder="1"/>
    <xf numFmtId="165" fontId="10" fillId="19" borderId="31" xfId="0" applyNumberFormat="1" applyFont="1" applyFill="1" applyBorder="1"/>
    <xf numFmtId="165" fontId="0" fillId="19" borderId="37" xfId="0" applyNumberFormat="1" applyFill="1" applyBorder="1"/>
    <xf numFmtId="44" fontId="10" fillId="19" borderId="45" xfId="0" applyNumberFormat="1" applyFont="1" applyFill="1" applyBorder="1"/>
    <xf numFmtId="44" fontId="10" fillId="19" borderId="9" xfId="0" applyNumberFormat="1" applyFont="1" applyFill="1" applyBorder="1"/>
    <xf numFmtId="0" fontId="0" fillId="19" borderId="12" xfId="0" applyFill="1" applyBorder="1"/>
    <xf numFmtId="165" fontId="0" fillId="19" borderId="11" xfId="0" applyNumberFormat="1" applyFill="1" applyBorder="1"/>
    <xf numFmtId="7" fontId="0" fillId="19" borderId="11" xfId="0" applyNumberFormat="1" applyFill="1" applyBorder="1"/>
    <xf numFmtId="165" fontId="10" fillId="19" borderId="10" xfId="0" applyNumberFormat="1" applyFont="1" applyFill="1" applyBorder="1"/>
    <xf numFmtId="0" fontId="0" fillId="5" borderId="4" xfId="0" applyFill="1" applyBorder="1"/>
    <xf numFmtId="44" fontId="9" fillId="5" borderId="13" xfId="0" applyNumberFormat="1" applyFont="1" applyFill="1" applyBorder="1"/>
    <xf numFmtId="44" fontId="9" fillId="5" borderId="14" xfId="0" applyNumberFormat="1" applyFont="1" applyFill="1" applyBorder="1"/>
    <xf numFmtId="44" fontId="10" fillId="9" borderId="4" xfId="0" applyNumberFormat="1" applyFont="1" applyFill="1" applyBorder="1"/>
    <xf numFmtId="0" fontId="0" fillId="9" borderId="4" xfId="0" applyFill="1" applyBorder="1"/>
    <xf numFmtId="7" fontId="0" fillId="9" borderId="4" xfId="0" applyNumberFormat="1" applyFill="1" applyBorder="1"/>
    <xf numFmtId="7" fontId="0" fillId="19" borderId="35" xfId="0" applyNumberFormat="1" applyFill="1" applyBorder="1"/>
    <xf numFmtId="44" fontId="9" fillId="19" borderId="37" xfId="0" applyNumberFormat="1" applyFont="1" applyFill="1" applyBorder="1"/>
    <xf numFmtId="0" fontId="0" fillId="19" borderId="35" xfId="0" applyFill="1" applyBorder="1"/>
    <xf numFmtId="44" fontId="9" fillId="19" borderId="36" xfId="0" applyNumberFormat="1" applyFont="1" applyFill="1" applyBorder="1"/>
    <xf numFmtId="44" fontId="9" fillId="19" borderId="31" xfId="0" applyNumberFormat="1" applyFont="1" applyFill="1" applyBorder="1"/>
    <xf numFmtId="0" fontId="9" fillId="19" borderId="31" xfId="0" applyFont="1" applyFill="1" applyBorder="1"/>
    <xf numFmtId="0" fontId="9" fillId="19" borderId="37" xfId="0" applyFont="1" applyFill="1" applyBorder="1"/>
    <xf numFmtId="44" fontId="0" fillId="19" borderId="43" xfId="0" applyNumberFormat="1" applyFill="1" applyBorder="1"/>
    <xf numFmtId="44" fontId="0" fillId="19" borderId="35" xfId="0" applyNumberFormat="1" applyFill="1" applyBorder="1"/>
    <xf numFmtId="0" fontId="10" fillId="0" borderId="20" xfId="0" applyFont="1" applyFill="1" applyBorder="1"/>
    <xf numFmtId="44" fontId="0" fillId="26" borderId="0" xfId="2" applyFont="1" applyFill="1"/>
    <xf numFmtId="44" fontId="9" fillId="0" borderId="0" xfId="2" applyFont="1" applyFill="1"/>
    <xf numFmtId="44" fontId="9" fillId="5" borderId="6" xfId="2" applyFont="1" applyFill="1" applyBorder="1"/>
    <xf numFmtId="0" fontId="9" fillId="15" borderId="20" xfId="0" applyFont="1" applyFill="1" applyBorder="1"/>
    <xf numFmtId="0" fontId="9" fillId="15" borderId="0" xfId="0" applyFont="1" applyFill="1" applyBorder="1"/>
    <xf numFmtId="0" fontId="9" fillId="15" borderId="21" xfId="0" applyFont="1" applyFill="1" applyBorder="1"/>
    <xf numFmtId="0" fontId="9" fillId="15" borderId="31" xfId="0" applyNumberFormat="1" applyFont="1" applyFill="1" applyBorder="1" applyAlignment="1" applyProtection="1">
      <alignment horizontal="center"/>
    </xf>
    <xf numFmtId="0" fontId="9" fillId="15" borderId="0" xfId="0" applyNumberFormat="1" applyFont="1" applyFill="1" applyBorder="1" applyAlignment="1" applyProtection="1">
      <alignment horizontal="center"/>
    </xf>
    <xf numFmtId="0" fontId="25" fillId="22" borderId="26" xfId="0" applyFont="1" applyFill="1" applyBorder="1" applyAlignment="1">
      <alignment horizontal="left"/>
    </xf>
    <xf numFmtId="44" fontId="0" fillId="9" borderId="20" xfId="0" applyNumberFormat="1" applyFill="1" applyBorder="1"/>
    <xf numFmtId="0" fontId="10" fillId="6" borderId="0" xfId="0" applyFont="1" applyFill="1" applyBorder="1"/>
    <xf numFmtId="0" fontId="0" fillId="6" borderId="0" xfId="0" applyFill="1" applyBorder="1"/>
    <xf numFmtId="167" fontId="0" fillId="6" borderId="0" xfId="0" applyNumberFormat="1" applyFill="1" applyBorder="1"/>
    <xf numFmtId="165" fontId="9" fillId="6" borderId="0" xfId="0" applyNumberFormat="1" applyFont="1" applyFill="1" applyBorder="1"/>
    <xf numFmtId="165" fontId="0" fillId="6" borderId="0" xfId="0" applyNumberFormat="1" applyFill="1" applyBorder="1"/>
    <xf numFmtId="7" fontId="10" fillId="0" borderId="4" xfId="0" applyNumberFormat="1" applyFont="1" applyBorder="1" applyAlignment="1"/>
    <xf numFmtId="7" fontId="10" fillId="0" borderId="0" xfId="0" applyNumberFormat="1" applyFont="1"/>
    <xf numFmtId="0" fontId="38" fillId="27" borderId="0" xfId="0" applyFont="1" applyFill="1" applyBorder="1"/>
    <xf numFmtId="165" fontId="38" fillId="27" borderId="0" xfId="0" applyNumberFormat="1" applyFont="1" applyFill="1"/>
    <xf numFmtId="0" fontId="10" fillId="22" borderId="5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6" borderId="20" xfId="0" applyFont="1" applyFill="1" applyBorder="1" applyAlignment="1">
      <alignment horizontal="right"/>
    </xf>
    <xf numFmtId="0" fontId="23" fillId="6" borderId="0" xfId="0" applyFont="1" applyFill="1" applyBorder="1" applyAlignment="1">
      <alignment horizontal="right"/>
    </xf>
    <xf numFmtId="0" fontId="23" fillId="9" borderId="16" xfId="0" applyFont="1" applyFill="1" applyBorder="1" applyAlignment="1">
      <alignment horizontal="center"/>
    </xf>
    <xf numFmtId="49" fontId="23" fillId="9" borderId="18" xfId="0" applyNumberFormat="1" applyFont="1" applyFill="1" applyBorder="1" applyAlignment="1">
      <alignment horizontal="center"/>
    </xf>
    <xf numFmtId="0" fontId="31" fillId="0" borderId="0" xfId="0" applyFont="1" applyBorder="1" applyAlignment="1"/>
    <xf numFmtId="44" fontId="0" fillId="9" borderId="21" xfId="0" applyNumberFormat="1" applyFill="1" applyBorder="1" applyAlignment="1">
      <alignment horizontal="center"/>
    </xf>
    <xf numFmtId="49" fontId="0" fillId="9" borderId="21" xfId="0" applyNumberFormat="1" applyFill="1" applyBorder="1" applyAlignment="1">
      <alignment horizontal="center"/>
    </xf>
    <xf numFmtId="44" fontId="32" fillId="9" borderId="21" xfId="0" applyNumberFormat="1" applyFont="1" applyFill="1" applyBorder="1"/>
    <xf numFmtId="0" fontId="23" fillId="9" borderId="20" xfId="0" applyFont="1" applyFill="1" applyBorder="1" applyAlignment="1">
      <alignment horizontal="center"/>
    </xf>
    <xf numFmtId="49" fontId="23" fillId="9" borderId="20" xfId="0" applyNumberFormat="1" applyFont="1" applyFill="1" applyBorder="1" applyAlignment="1">
      <alignment horizontal="center"/>
    </xf>
    <xf numFmtId="0" fontId="0" fillId="9" borderId="20" xfId="0" applyNumberFormat="1" applyFill="1" applyBorder="1" applyAlignment="1" applyProtection="1">
      <alignment horizontal="center"/>
    </xf>
    <xf numFmtId="164" fontId="0" fillId="9" borderId="0" xfId="0" applyNumberFormat="1" applyFill="1" applyBorder="1"/>
    <xf numFmtId="0" fontId="9" fillId="9" borderId="20" xfId="0" applyNumberFormat="1" applyFont="1" applyFill="1" applyBorder="1" applyAlignment="1" applyProtection="1">
      <alignment horizontal="center"/>
    </xf>
    <xf numFmtId="44" fontId="23" fillId="9" borderId="0" xfId="0" applyNumberFormat="1" applyFont="1" applyFill="1" applyBorder="1"/>
    <xf numFmtId="165" fontId="0" fillId="0" borderId="21" xfId="0" applyNumberFormat="1" applyBorder="1"/>
    <xf numFmtId="0" fontId="32" fillId="9" borderId="21" xfId="0" applyFont="1" applyFill="1" applyBorder="1"/>
    <xf numFmtId="0" fontId="32" fillId="9" borderId="31" xfId="0" applyFont="1" applyFill="1" applyBorder="1"/>
    <xf numFmtId="168" fontId="0" fillId="9" borderId="0" xfId="0" applyNumberFormat="1" applyFill="1" applyBorder="1"/>
    <xf numFmtId="7" fontId="32" fillId="9" borderId="0" xfId="0" applyNumberFormat="1" applyFont="1" applyFill="1" applyBorder="1"/>
    <xf numFmtId="0" fontId="31" fillId="9" borderId="20" xfId="0" applyFont="1" applyFill="1" applyBorder="1" applyAlignment="1"/>
    <xf numFmtId="0" fontId="31" fillId="9" borderId="0" xfId="0" applyFont="1" applyFill="1" applyBorder="1" applyAlignment="1"/>
    <xf numFmtId="0" fontId="35" fillId="9" borderId="0" xfId="5" applyFill="1" applyBorder="1"/>
    <xf numFmtId="0" fontId="36" fillId="9" borderId="0" xfId="0" applyFont="1" applyFill="1" applyBorder="1"/>
    <xf numFmtId="165" fontId="0" fillId="0" borderId="26" xfId="0" applyNumberFormat="1" applyBorder="1"/>
    <xf numFmtId="0" fontId="10" fillId="9" borderId="29" xfId="0" applyFont="1" applyFill="1" applyBorder="1" applyAlignment="1">
      <alignment horizontal="center" wrapText="1"/>
    </xf>
    <xf numFmtId="44" fontId="34" fillId="9" borderId="31" xfId="0" applyNumberFormat="1" applyFont="1" applyFill="1" applyBorder="1" applyAlignment="1">
      <alignment horizontal="center"/>
    </xf>
    <xf numFmtId="0" fontId="34" fillId="0" borderId="31" xfId="0" applyNumberFormat="1" applyFont="1" applyFill="1" applyBorder="1" applyAlignment="1">
      <alignment horizontal="right"/>
    </xf>
    <xf numFmtId="0" fontId="34" fillId="0" borderId="30" xfId="0" applyNumberFormat="1" applyFont="1" applyFill="1" applyBorder="1" applyAlignment="1">
      <alignment horizontal="right"/>
    </xf>
    <xf numFmtId="44" fontId="34" fillId="9" borderId="30" xfId="0" applyNumberFormat="1" applyFont="1" applyFill="1" applyBorder="1" applyAlignment="1">
      <alignment horizontal="center"/>
    </xf>
    <xf numFmtId="0" fontId="0" fillId="0" borderId="32" xfId="0" applyNumberFormat="1" applyBorder="1" applyAlignment="1" applyProtection="1">
      <alignment horizontal="center"/>
    </xf>
    <xf numFmtId="165" fontId="10" fillId="0" borderId="16" xfId="0" applyNumberFormat="1" applyFont="1" applyBorder="1"/>
    <xf numFmtId="165" fontId="10" fillId="0" borderId="18" xfId="0" applyNumberFormat="1" applyFont="1" applyBorder="1"/>
    <xf numFmtId="0" fontId="10" fillId="0" borderId="30" xfId="0" applyNumberFormat="1" applyFont="1" applyBorder="1" applyAlignment="1" applyProtection="1">
      <alignment horizontal="center"/>
    </xf>
    <xf numFmtId="164" fontId="10" fillId="0" borderId="17" xfId="0" applyNumberFormat="1" applyFont="1" applyBorder="1"/>
    <xf numFmtId="0" fontId="10" fillId="0" borderId="31" xfId="0" applyNumberFormat="1" applyFont="1" applyBorder="1" applyAlignment="1" applyProtection="1">
      <alignment horizontal="center"/>
    </xf>
    <xf numFmtId="164" fontId="10" fillId="0" borderId="21" xfId="0" applyNumberFormat="1" applyFont="1" applyBorder="1"/>
    <xf numFmtId="0" fontId="10" fillId="9" borderId="31" xfId="0" applyNumberFormat="1" applyFont="1" applyFill="1" applyBorder="1" applyAlignment="1" applyProtection="1">
      <alignment horizontal="center"/>
    </xf>
    <xf numFmtId="0" fontId="10" fillId="9" borderId="32" xfId="0" applyNumberFormat="1" applyFont="1" applyFill="1" applyBorder="1" applyAlignment="1" applyProtection="1">
      <alignment horizontal="center"/>
    </xf>
    <xf numFmtId="164" fontId="10" fillId="0" borderId="19" xfId="0" applyNumberFormat="1" applyFont="1" applyBorder="1"/>
    <xf numFmtId="0" fontId="34" fillId="0" borderId="32" xfId="0" applyNumberFormat="1" applyFont="1" applyBorder="1" applyAlignment="1" applyProtection="1">
      <alignment horizontal="center"/>
    </xf>
    <xf numFmtId="0" fontId="10" fillId="16" borderId="0" xfId="0" applyFont="1" applyFill="1" applyBorder="1"/>
    <xf numFmtId="0" fontId="0" fillId="16" borderId="0" xfId="0" applyFill="1" applyBorder="1"/>
    <xf numFmtId="0" fontId="0" fillId="16" borderId="0" xfId="0" applyFill="1"/>
    <xf numFmtId="44" fontId="0" fillId="9" borderId="31" xfId="0" applyNumberFormat="1" applyFill="1" applyBorder="1" applyAlignment="1"/>
    <xf numFmtId="49" fontId="0" fillId="9" borderId="31" xfId="0" applyNumberFormat="1" applyFill="1" applyBorder="1" applyAlignment="1">
      <alignment horizontal="center"/>
    </xf>
    <xf numFmtId="0" fontId="0" fillId="9" borderId="31" xfId="0" applyFont="1" applyFill="1" applyBorder="1"/>
    <xf numFmtId="165" fontId="23" fillId="6" borderId="29" xfId="0" applyNumberFormat="1" applyFont="1" applyFill="1" applyBorder="1" applyAlignment="1" applyProtection="1">
      <alignment horizontal="center"/>
    </xf>
    <xf numFmtId="0" fontId="10" fillId="0" borderId="0" xfId="3"/>
    <xf numFmtId="1" fontId="39" fillId="9" borderId="0" xfId="3" applyNumberFormat="1" applyFont="1" applyFill="1"/>
    <xf numFmtId="43" fontId="39" fillId="9" borderId="0" xfId="2" applyNumberFormat="1" applyFont="1" applyFill="1"/>
    <xf numFmtId="43" fontId="39" fillId="9" borderId="0" xfId="3" applyNumberFormat="1" applyFont="1" applyFill="1" applyAlignment="1">
      <alignment horizontal="center"/>
    </xf>
    <xf numFmtId="0" fontId="39" fillId="9" borderId="0" xfId="3" applyFont="1" applyFill="1" applyAlignment="1">
      <alignment horizontal="center"/>
    </xf>
    <xf numFmtId="0" fontId="39" fillId="9" borderId="0" xfId="3" applyFont="1" applyFill="1"/>
    <xf numFmtId="0" fontId="41" fillId="9" borderId="0" xfId="3" applyFont="1" applyFill="1"/>
    <xf numFmtId="0" fontId="39" fillId="9" borderId="0" xfId="3" quotePrefix="1" applyFont="1" applyFill="1" applyAlignment="1">
      <alignment horizontal="right"/>
    </xf>
    <xf numFmtId="0" fontId="40" fillId="9" borderId="0" xfId="3" applyFont="1" applyFill="1" applyAlignment="1">
      <alignment horizontal="center"/>
    </xf>
    <xf numFmtId="1" fontId="40" fillId="9" borderId="0" xfId="3" applyNumberFormat="1" applyFont="1" applyFill="1"/>
    <xf numFmtId="1" fontId="40" fillId="9" borderId="0" xfId="3" applyNumberFormat="1" applyFont="1" applyFill="1" applyAlignment="1">
      <alignment horizontal="center"/>
    </xf>
    <xf numFmtId="1" fontId="40" fillId="9" borderId="5" xfId="3" applyNumberFormat="1" applyFont="1" applyFill="1" applyBorder="1" applyAlignment="1">
      <alignment horizontal="left"/>
    </xf>
    <xf numFmtId="43" fontId="40" fillId="9" borderId="5" xfId="2" applyNumberFormat="1" applyFont="1" applyFill="1" applyBorder="1"/>
    <xf numFmtId="173" fontId="39" fillId="9" borderId="0" xfId="3" applyNumberFormat="1" applyFont="1" applyFill="1"/>
    <xf numFmtId="43" fontId="10" fillId="9" borderId="0" xfId="3" applyNumberFormat="1" applyFill="1"/>
    <xf numFmtId="2" fontId="39" fillId="9" borderId="0" xfId="3" applyNumberFormat="1" applyFont="1" applyFill="1"/>
    <xf numFmtId="43" fontId="39" fillId="9" borderId="0" xfId="3" applyNumberFormat="1" applyFont="1" applyFill="1"/>
    <xf numFmtId="0" fontId="40" fillId="9" borderId="0" xfId="3" applyFont="1" applyFill="1" applyAlignment="1">
      <alignment horizontal="right"/>
    </xf>
    <xf numFmtId="44" fontId="40" fillId="9" borderId="0" xfId="2" applyFont="1" applyFill="1"/>
    <xf numFmtId="44" fontId="10" fillId="9" borderId="0" xfId="3" applyNumberFormat="1" applyFill="1"/>
    <xf numFmtId="44" fontId="39" fillId="9" borderId="0" xfId="2" applyNumberFormat="1" applyFont="1" applyFill="1"/>
    <xf numFmtId="44" fontId="10" fillId="9" borderId="0" xfId="3" applyNumberFormat="1" applyFont="1" applyFill="1"/>
    <xf numFmtId="43" fontId="10" fillId="9" borderId="0" xfId="3" applyNumberFormat="1" applyFont="1" applyFill="1"/>
    <xf numFmtId="4" fontId="10" fillId="0" borderId="0" xfId="8" applyNumberFormat="1" applyFont="1" applyFill="1" applyAlignment="1">
      <alignment horizontal="right"/>
    </xf>
    <xf numFmtId="4" fontId="10" fillId="0" borderId="0" xfId="8" applyNumberFormat="1" applyFont="1" applyAlignment="1">
      <alignment horizontal="right"/>
    </xf>
    <xf numFmtId="4" fontId="10" fillId="9" borderId="0" xfId="8" applyNumberFormat="1" applyFont="1" applyFill="1" applyAlignment="1">
      <alignment horizontal="right"/>
    </xf>
    <xf numFmtId="42" fontId="39" fillId="9" borderId="0" xfId="3" applyNumberFormat="1" applyFont="1" applyFill="1"/>
    <xf numFmtId="0" fontId="23" fillId="0" borderId="0" xfId="0" applyFont="1" applyBorder="1" applyAlignment="1">
      <alignment horizontal="right"/>
    </xf>
    <xf numFmtId="0" fontId="8" fillId="0" borderId="0" xfId="9"/>
    <xf numFmtId="44" fontId="8" fillId="0" borderId="0" xfId="9" applyNumberFormat="1"/>
    <xf numFmtId="0" fontId="42" fillId="0" borderId="0" xfId="9" applyFont="1" applyAlignment="1">
      <alignment horizontal="center"/>
    </xf>
    <xf numFmtId="44" fontId="8" fillId="23" borderId="48" xfId="9" applyNumberFormat="1" applyFill="1" applyBorder="1"/>
    <xf numFmtId="10" fontId="8" fillId="21" borderId="48" xfId="9" applyNumberFormat="1" applyFill="1" applyBorder="1"/>
    <xf numFmtId="10" fontId="8" fillId="21" borderId="8" xfId="9" applyNumberFormat="1" applyFill="1" applyBorder="1"/>
    <xf numFmtId="44" fontId="8" fillId="0" borderId="48" xfId="9" applyNumberFormat="1" applyBorder="1"/>
    <xf numFmtId="44" fontId="8" fillId="0" borderId="8" xfId="9" applyNumberFormat="1" applyBorder="1"/>
    <xf numFmtId="0" fontId="42" fillId="0" borderId="0" xfId="9" applyFont="1" applyBorder="1" applyAlignment="1">
      <alignment horizontal="center"/>
    </xf>
    <xf numFmtId="44" fontId="8" fillId="0" borderId="0" xfId="9" applyNumberFormat="1" applyBorder="1"/>
    <xf numFmtId="0" fontId="8" fillId="0" borderId="0" xfId="9" applyBorder="1"/>
    <xf numFmtId="44" fontId="8" fillId="28" borderId="48" xfId="9" applyNumberFormat="1" applyFill="1" applyBorder="1"/>
    <xf numFmtId="44" fontId="8" fillId="29" borderId="48" xfId="9" applyNumberFormat="1" applyFill="1" applyBorder="1"/>
    <xf numFmtId="44" fontId="8" fillId="30" borderId="48" xfId="9" applyNumberFormat="1" applyFill="1" applyBorder="1"/>
    <xf numFmtId="44" fontId="8" fillId="25" borderId="48" xfId="9" applyNumberFormat="1" applyFill="1" applyBorder="1"/>
    <xf numFmtId="7" fontId="8" fillId="23" borderId="8" xfId="9" applyNumberFormat="1" applyFill="1" applyBorder="1"/>
    <xf numFmtId="44" fontId="8" fillId="28" borderId="8" xfId="9" applyNumberFormat="1" applyFill="1" applyBorder="1"/>
    <xf numFmtId="44" fontId="8" fillId="29" borderId="8" xfId="9" applyNumberFormat="1" applyFill="1" applyBorder="1"/>
    <xf numFmtId="44" fontId="8" fillId="30" borderId="8" xfId="9" applyNumberFormat="1" applyFill="1" applyBorder="1"/>
    <xf numFmtId="44" fontId="8" fillId="25" borderId="8" xfId="9" applyNumberFormat="1" applyFill="1" applyBorder="1"/>
    <xf numFmtId="0" fontId="42" fillId="0" borderId="22" xfId="9" applyFont="1" applyBorder="1" applyAlignment="1">
      <alignment horizontal="center" wrapText="1"/>
    </xf>
    <xf numFmtId="0" fontId="42" fillId="23" borderId="22" xfId="9" applyFont="1" applyFill="1" applyBorder="1" applyAlignment="1">
      <alignment horizontal="center"/>
    </xf>
    <xf numFmtId="0" fontId="42" fillId="28" borderId="22" xfId="9" applyFont="1" applyFill="1" applyBorder="1" applyAlignment="1">
      <alignment horizontal="center" wrapText="1"/>
    </xf>
    <xf numFmtId="0" fontId="42" fillId="29" borderId="22" xfId="9" applyFont="1" applyFill="1" applyBorder="1" applyAlignment="1">
      <alignment horizontal="center" wrapText="1"/>
    </xf>
    <xf numFmtId="0" fontId="42" fillId="30" borderId="22" xfId="9" applyFont="1" applyFill="1" applyBorder="1" applyAlignment="1">
      <alignment horizontal="center" wrapText="1"/>
    </xf>
    <xf numFmtId="0" fontId="42" fillId="25" borderId="22" xfId="9" applyFont="1" applyFill="1" applyBorder="1" applyAlignment="1">
      <alignment horizontal="center" wrapText="1"/>
    </xf>
    <xf numFmtId="0" fontId="42" fillId="21" borderId="22" xfId="9" applyFont="1" applyFill="1" applyBorder="1" applyAlignment="1">
      <alignment horizontal="center" wrapText="1"/>
    </xf>
    <xf numFmtId="8" fontId="0" fillId="0" borderId="0" xfId="0" applyNumberFormat="1"/>
    <xf numFmtId="0" fontId="31" fillId="0" borderId="29" xfId="10" applyFont="1" applyBorder="1" applyAlignment="1">
      <alignment horizontal="center" vertical="center"/>
    </xf>
    <xf numFmtId="0" fontId="31" fillId="0" borderId="0" xfId="10" applyFont="1" applyAlignment="1">
      <alignment horizontal="center" vertical="center"/>
    </xf>
    <xf numFmtId="0" fontId="31" fillId="0" borderId="1" xfId="10" applyFont="1" applyBorder="1" applyAlignment="1">
      <alignment vertical="center"/>
    </xf>
    <xf numFmtId="0" fontId="31" fillId="0" borderId="29" xfId="10" applyFont="1" applyFill="1" applyBorder="1" applyAlignment="1">
      <alignment horizontal="center" vertical="center"/>
    </xf>
    <xf numFmtId="0" fontId="31" fillId="9" borderId="29" xfId="1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29" xfId="0" applyFont="1" applyBorder="1"/>
    <xf numFmtId="6" fontId="48" fillId="0" borderId="29" xfId="0" applyNumberFormat="1" applyFont="1" applyBorder="1"/>
    <xf numFmtId="8" fontId="48" fillId="0" borderId="29" xfId="0" applyNumberFormat="1" applyFont="1" applyBorder="1"/>
    <xf numFmtId="0" fontId="48" fillId="0" borderId="0" xfId="0" applyFont="1"/>
    <xf numFmtId="10" fontId="48" fillId="0" borderId="29" xfId="0" applyNumberFormat="1" applyFont="1" applyBorder="1"/>
    <xf numFmtId="8" fontId="47" fillId="0" borderId="29" xfId="0" applyNumberFormat="1" applyFont="1" applyBorder="1"/>
    <xf numFmtId="4" fontId="47" fillId="0" borderId="29" xfId="0" applyNumberFormat="1" applyFont="1" applyBorder="1"/>
    <xf numFmtId="6" fontId="47" fillId="0" borderId="29" xfId="0" applyNumberFormat="1" applyFont="1" applyBorder="1"/>
    <xf numFmtId="0" fontId="47" fillId="0" borderId="0" xfId="0" applyFont="1"/>
    <xf numFmtId="44" fontId="44" fillId="9" borderId="0" xfId="14" applyNumberFormat="1" applyFont="1" applyFill="1" applyBorder="1" applyAlignment="1">
      <alignment wrapText="1"/>
    </xf>
    <xf numFmtId="0" fontId="44" fillId="0" borderId="0" xfId="10" applyFont="1"/>
    <xf numFmtId="0" fontId="47" fillId="0" borderId="1" xfId="0" applyFont="1" applyBorder="1"/>
    <xf numFmtId="8" fontId="47" fillId="0" borderId="2" xfId="0" applyNumberFormat="1" applyFont="1" applyBorder="1"/>
    <xf numFmtId="8" fontId="47" fillId="0" borderId="3" xfId="0" applyNumberFormat="1" applyFont="1" applyBorder="1"/>
    <xf numFmtId="8" fontId="48" fillId="0" borderId="0" xfId="0" applyNumberFormat="1" applyFont="1"/>
    <xf numFmtId="165" fontId="48" fillId="0" borderId="29" xfId="0" applyNumberFormat="1" applyFont="1" applyBorder="1"/>
    <xf numFmtId="44" fontId="0" fillId="24" borderId="38" xfId="0" applyNumberFormat="1" applyFill="1" applyBorder="1"/>
    <xf numFmtId="44" fontId="0" fillId="24" borderId="44" xfId="0" applyNumberFormat="1" applyFill="1" applyBorder="1"/>
    <xf numFmtId="44" fontId="0" fillId="24" borderId="39" xfId="0" applyNumberFormat="1" applyFill="1" applyBorder="1"/>
    <xf numFmtId="0" fontId="0" fillId="24" borderId="39" xfId="0" applyFill="1" applyBorder="1"/>
    <xf numFmtId="44" fontId="0" fillId="24" borderId="40" xfId="0" applyNumberFormat="1" applyFill="1" applyBorder="1"/>
    <xf numFmtId="44" fontId="0" fillId="9" borderId="25" xfId="0" applyNumberFormat="1" applyFill="1" applyBorder="1"/>
    <xf numFmtId="165" fontId="0" fillId="9" borderId="22" xfId="0" applyNumberFormat="1" applyFill="1" applyBorder="1"/>
    <xf numFmtId="0" fontId="0" fillId="9" borderId="8" xfId="0" applyFill="1" applyBorder="1"/>
    <xf numFmtId="44" fontId="9" fillId="9" borderId="25" xfId="0" applyNumberFormat="1" applyFont="1" applyFill="1" applyBorder="1"/>
    <xf numFmtId="165" fontId="9" fillId="9" borderId="22" xfId="0" applyNumberFormat="1" applyFont="1" applyFill="1" applyBorder="1"/>
    <xf numFmtId="0" fontId="9" fillId="9" borderId="22" xfId="0" applyFont="1" applyFill="1" applyBorder="1"/>
    <xf numFmtId="44" fontId="9" fillId="9" borderId="22" xfId="0" applyNumberFormat="1" applyFont="1" applyFill="1" applyBorder="1"/>
    <xf numFmtId="0" fontId="9" fillId="9" borderId="8" xfId="0" applyFont="1" applyFill="1" applyBorder="1"/>
    <xf numFmtId="0" fontId="0" fillId="0" borderId="0" xfId="0"/>
    <xf numFmtId="0" fontId="10" fillId="0" borderId="0" xfId="0" applyFont="1"/>
    <xf numFmtId="0" fontId="10" fillId="9" borderId="0" xfId="0" applyFont="1" applyFill="1" applyBorder="1"/>
    <xf numFmtId="0" fontId="10" fillId="9" borderId="21" xfId="0" applyFont="1" applyFill="1" applyBorder="1"/>
    <xf numFmtId="8" fontId="0" fillId="0" borderId="0" xfId="0" applyNumberFormat="1"/>
    <xf numFmtId="0" fontId="31" fillId="0" borderId="29" xfId="10" applyFont="1" applyBorder="1" applyAlignment="1">
      <alignment horizontal="center" vertical="center"/>
    </xf>
    <xf numFmtId="0" fontId="31" fillId="9" borderId="29" xfId="10" applyFont="1" applyFill="1" applyBorder="1" applyAlignment="1">
      <alignment horizontal="center" vertical="center"/>
    </xf>
    <xf numFmtId="0" fontId="48" fillId="0" borderId="29" xfId="0" applyFont="1" applyBorder="1"/>
    <xf numFmtId="8" fontId="48" fillId="0" borderId="29" xfId="0" applyNumberFormat="1" applyFont="1" applyBorder="1"/>
    <xf numFmtId="0" fontId="48" fillId="0" borderId="0" xfId="0" applyFont="1"/>
    <xf numFmtId="6" fontId="47" fillId="0" borderId="29" xfId="0" applyNumberFormat="1" applyFont="1" applyBorder="1"/>
    <xf numFmtId="44" fontId="44" fillId="9" borderId="0" xfId="14" applyNumberFormat="1" applyFont="1" applyFill="1" applyBorder="1" applyAlignment="1">
      <alignment wrapText="1"/>
    </xf>
    <xf numFmtId="0" fontId="44" fillId="0" borderId="0" xfId="10" applyFont="1"/>
    <xf numFmtId="8" fontId="47" fillId="0" borderId="3" xfId="0" applyNumberFormat="1" applyFont="1" applyBorder="1"/>
    <xf numFmtId="8" fontId="48" fillId="0" borderId="0" xfId="0" applyNumberFormat="1" applyFont="1"/>
    <xf numFmtId="7" fontId="7" fillId="23" borderId="48" xfId="16" applyNumberFormat="1" applyFill="1" applyBorder="1"/>
    <xf numFmtId="10" fontId="7" fillId="21" borderId="48" xfId="16" applyNumberFormat="1" applyFill="1" applyBorder="1"/>
    <xf numFmtId="44" fontId="7" fillId="0" borderId="48" xfId="16" applyNumberFormat="1" applyBorder="1"/>
    <xf numFmtId="44" fontId="7" fillId="28" borderId="48" xfId="16" applyNumberFormat="1" applyFill="1" applyBorder="1"/>
    <xf numFmtId="44" fontId="7" fillId="29" borderId="48" xfId="16" applyNumberFormat="1" applyFill="1" applyBorder="1"/>
    <xf numFmtId="44" fontId="7" fillId="30" borderId="48" xfId="16" applyNumberFormat="1" applyFill="1" applyBorder="1"/>
    <xf numFmtId="44" fontId="7" fillId="25" borderId="48" xfId="16" applyNumberFormat="1" applyFill="1" applyBorder="1"/>
    <xf numFmtId="8" fontId="10" fillId="0" borderId="0" xfId="3" applyNumberFormat="1"/>
    <xf numFmtId="4" fontId="0" fillId="9" borderId="0" xfId="0" applyNumberFormat="1" applyFill="1" applyAlignment="1">
      <alignment horizontal="right"/>
    </xf>
    <xf numFmtId="4" fontId="9" fillId="9" borderId="0" xfId="0" applyNumberFormat="1" applyFont="1" applyFill="1" applyAlignment="1">
      <alignment horizontal="center"/>
    </xf>
    <xf numFmtId="4" fontId="19" fillId="9" borderId="0" xfId="1" applyNumberFormat="1" applyFont="1" applyFill="1"/>
    <xf numFmtId="165" fontId="9" fillId="9" borderId="0" xfId="0" applyNumberFormat="1" applyFont="1" applyFill="1"/>
    <xf numFmtId="0" fontId="0" fillId="0" borderId="0" xfId="0"/>
    <xf numFmtId="0" fontId="10" fillId="0" borderId="0" xfId="0" applyFont="1" applyAlignment="1">
      <alignment horizontal="center"/>
    </xf>
    <xf numFmtId="22" fontId="17" fillId="0" borderId="4" xfId="0" applyNumberFormat="1" applyFont="1" applyBorder="1"/>
    <xf numFmtId="4" fontId="0" fillId="0" borderId="0" xfId="0" applyNumberFormat="1" applyAlignment="1">
      <alignment horizontal="right"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9" fillId="0" borderId="0" xfId="0" applyNumberFormat="1" applyFont="1"/>
    <xf numFmtId="0" fontId="19" fillId="0" borderId="0" xfId="0" applyFont="1"/>
    <xf numFmtId="0" fontId="10" fillId="0" borderId="0" xfId="0" applyFont="1" applyAlignment="1">
      <alignment horizontal="right"/>
    </xf>
    <xf numFmtId="4" fontId="19" fillId="0" borderId="0" xfId="1" applyNumberFormat="1" applyFont="1"/>
    <xf numFmtId="165" fontId="9" fillId="0" borderId="0" xfId="0" applyNumberFormat="1" applyFont="1"/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/>
    <xf numFmtId="0" fontId="1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9" fillId="0" borderId="0" xfId="0" applyFont="1"/>
    <xf numFmtId="4" fontId="19" fillId="0" borderId="0" xfId="1" applyNumberFormat="1" applyFont="1"/>
    <xf numFmtId="0" fontId="10" fillId="9" borderId="0" xfId="0" applyFont="1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65" fontId="9" fillId="0" borderId="0" xfId="0" applyNumberFormat="1" applyFont="1"/>
    <xf numFmtId="0" fontId="0" fillId="5" borderId="0" xfId="0" applyFill="1" applyAlignment="1">
      <alignment horizontal="center"/>
    </xf>
    <xf numFmtId="4" fontId="10" fillId="9" borderId="0" xfId="0" applyNumberFormat="1" applyFont="1" applyFill="1" applyAlignment="1">
      <alignment horizontal="right"/>
    </xf>
    <xf numFmtId="4" fontId="10" fillId="9" borderId="0" xfId="0" applyNumberFormat="1" applyFont="1" applyFill="1"/>
    <xf numFmtId="4" fontId="0" fillId="9" borderId="0" xfId="1" applyNumberFormat="1" applyFont="1" applyFill="1"/>
    <xf numFmtId="0" fontId="12" fillId="0" borderId="0" xfId="0" applyFont="1" applyBorder="1" applyAlignment="1">
      <alignment horizontal="center" vertical="top"/>
    </xf>
    <xf numFmtId="0" fontId="19" fillId="9" borderId="0" xfId="0" applyFont="1" applyFill="1"/>
    <xf numFmtId="0" fontId="9" fillId="9" borderId="0" xfId="0" applyFont="1" applyFill="1" applyAlignment="1">
      <alignment horizontal="left"/>
    </xf>
    <xf numFmtId="4" fontId="10" fillId="9" borderId="0" xfId="1" applyNumberFormat="1" applyFont="1" applyFill="1"/>
    <xf numFmtId="4" fontId="21" fillId="9" borderId="0" xfId="0" applyNumberFormat="1" applyFont="1" applyFill="1" applyAlignment="1">
      <alignment horizontal="right"/>
    </xf>
    <xf numFmtId="4" fontId="0" fillId="9" borderId="0" xfId="0" applyNumberFormat="1" applyFill="1" applyAlignment="1">
      <alignment horizontal="center"/>
    </xf>
    <xf numFmtId="0" fontId="0" fillId="0" borderId="0" xfId="0"/>
    <xf numFmtId="44" fontId="0" fillId="9" borderId="0" xfId="0" applyNumberFormat="1" applyFill="1"/>
    <xf numFmtId="0" fontId="0" fillId="9" borderId="0" xfId="0" applyFill="1" applyBorder="1"/>
    <xf numFmtId="0" fontId="0" fillId="9" borderId="0" xfId="0" applyFill="1"/>
    <xf numFmtId="0" fontId="9" fillId="9" borderId="0" xfId="0" applyFont="1" applyFill="1"/>
    <xf numFmtId="165" fontId="0" fillId="9" borderId="0" xfId="0" applyNumberFormat="1" applyFill="1" applyBorder="1"/>
    <xf numFmtId="44" fontId="10" fillId="9" borderId="0" xfId="0" applyNumberFormat="1" applyFont="1" applyFill="1" applyBorder="1"/>
    <xf numFmtId="7" fontId="0" fillId="9" borderId="0" xfId="0" applyNumberFormat="1" applyFill="1" applyBorder="1"/>
    <xf numFmtId="0" fontId="9" fillId="9" borderId="0" xfId="0" applyFont="1" applyFill="1" applyBorder="1" applyAlignment="1">
      <alignment horizontal="center"/>
    </xf>
    <xf numFmtId="44" fontId="0" fillId="9" borderId="52" xfId="0" applyNumberFormat="1" applyFill="1" applyBorder="1"/>
    <xf numFmtId="44" fontId="0" fillId="9" borderId="29" xfId="0" applyNumberFormat="1" applyFill="1" applyBorder="1"/>
    <xf numFmtId="0" fontId="0" fillId="9" borderId="29" xfId="0" applyFill="1" applyBorder="1"/>
    <xf numFmtId="44" fontId="0" fillId="9" borderId="54" xfId="0" applyNumberFormat="1" applyFill="1" applyBorder="1"/>
    <xf numFmtId="44" fontId="0" fillId="9" borderId="55" xfId="0" applyNumberFormat="1" applyFill="1" applyBorder="1"/>
    <xf numFmtId="0" fontId="0" fillId="9" borderId="55" xfId="0" applyFill="1" applyBorder="1"/>
    <xf numFmtId="44" fontId="0" fillId="9" borderId="49" xfId="0" applyNumberFormat="1" applyFill="1" applyBorder="1"/>
    <xf numFmtId="44" fontId="0" fillId="9" borderId="50" xfId="0" applyNumberFormat="1" applyFill="1" applyBorder="1"/>
    <xf numFmtId="0" fontId="0" fillId="9" borderId="50" xfId="0" applyFill="1" applyBorder="1"/>
    <xf numFmtId="44" fontId="9" fillId="9" borderId="2" xfId="0" applyNumberFormat="1" applyFont="1" applyFill="1" applyBorder="1"/>
    <xf numFmtId="44" fontId="0" fillId="0" borderId="51" xfId="0" applyNumberFormat="1" applyBorder="1"/>
    <xf numFmtId="44" fontId="0" fillId="0" borderId="53" xfId="0" applyNumberFormat="1" applyBorder="1"/>
    <xf numFmtId="0" fontId="49" fillId="0" borderId="0" xfId="0" applyFont="1" applyBorder="1"/>
    <xf numFmtId="0" fontId="37" fillId="9" borderId="0" xfId="0" applyFont="1" applyFill="1" applyBorder="1" applyAlignment="1">
      <alignment horizontal="center"/>
    </xf>
    <xf numFmtId="44" fontId="9" fillId="9" borderId="12" xfId="0" applyNumberFormat="1" applyFont="1" applyFill="1" applyBorder="1"/>
    <xf numFmtId="44" fontId="9" fillId="0" borderId="3" xfId="0" applyNumberFormat="1" applyFont="1" applyBorder="1"/>
    <xf numFmtId="0" fontId="0" fillId="9" borderId="61" xfId="0" applyFill="1" applyBorder="1"/>
    <xf numFmtId="0" fontId="0" fillId="9" borderId="60" xfId="0" applyFill="1" applyBorder="1"/>
    <xf numFmtId="0" fontId="0" fillId="9" borderId="62" xfId="0" applyFill="1" applyBorder="1"/>
    <xf numFmtId="0" fontId="9" fillId="21" borderId="22" xfId="0" applyFont="1" applyFill="1" applyBorder="1" applyAlignment="1">
      <alignment horizontal="center" vertical="center"/>
    </xf>
    <xf numFmtId="44" fontId="9" fillId="21" borderId="22" xfId="4" applyNumberFormat="1" applyFont="1" applyFill="1" applyBorder="1" applyAlignment="1">
      <alignment horizontal="center" vertical="center" wrapText="1"/>
    </xf>
    <xf numFmtId="0" fontId="9" fillId="21" borderId="22" xfId="0" applyFont="1" applyFill="1" applyBorder="1" applyAlignment="1">
      <alignment horizontal="center" vertical="center" wrapText="1"/>
    </xf>
    <xf numFmtId="44" fontId="9" fillId="9" borderId="1" xfId="0" applyNumberFormat="1" applyFont="1" applyFill="1" applyBorder="1"/>
    <xf numFmtId="44" fontId="0" fillId="11" borderId="49" xfId="0" applyNumberFormat="1" applyFill="1" applyBorder="1"/>
    <xf numFmtId="44" fontId="0" fillId="11" borderId="50" xfId="0" applyNumberFormat="1" applyFill="1" applyBorder="1"/>
    <xf numFmtId="0" fontId="0" fillId="11" borderId="50" xfId="0" applyFill="1" applyBorder="1"/>
    <xf numFmtId="0" fontId="10" fillId="11" borderId="60" xfId="0" applyFont="1" applyFill="1" applyBorder="1"/>
    <xf numFmtId="44" fontId="0" fillId="11" borderId="52" xfId="0" applyNumberFormat="1" applyFill="1" applyBorder="1"/>
    <xf numFmtId="44" fontId="0" fillId="11" borderId="29" xfId="0" applyNumberFormat="1" applyFill="1" applyBorder="1"/>
    <xf numFmtId="0" fontId="0" fillId="11" borderId="29" xfId="0" applyFill="1" applyBorder="1"/>
    <xf numFmtId="44" fontId="0" fillId="11" borderId="54" xfId="0" applyNumberFormat="1" applyFill="1" applyBorder="1"/>
    <xf numFmtId="44" fontId="0" fillId="11" borderId="55" xfId="0" applyNumberFormat="1" applyFill="1" applyBorder="1"/>
    <xf numFmtId="0" fontId="0" fillId="11" borderId="55" xfId="0" applyFill="1" applyBorder="1"/>
    <xf numFmtId="0" fontId="10" fillId="11" borderId="61" xfId="0" applyFont="1" applyFill="1" applyBorder="1"/>
    <xf numFmtId="0" fontId="10" fillId="11" borderId="29" xfId="0" applyFont="1" applyFill="1" applyBorder="1"/>
    <xf numFmtId="44" fontId="10" fillId="11" borderId="29" xfId="0" applyNumberFormat="1" applyFont="1" applyFill="1" applyBorder="1"/>
    <xf numFmtId="0" fontId="10" fillId="11" borderId="62" xfId="0" applyFont="1" applyFill="1" applyBorder="1"/>
    <xf numFmtId="44" fontId="10" fillId="11" borderId="55" xfId="0" applyNumberFormat="1" applyFont="1" applyFill="1" applyBorder="1"/>
    <xf numFmtId="0" fontId="10" fillId="0" borderId="0" xfId="3"/>
    <xf numFmtId="44" fontId="10" fillId="0" borderId="0" xfId="3" applyNumberFormat="1" applyFont="1"/>
    <xf numFmtId="0" fontId="10" fillId="9" borderId="0" xfId="3" applyFont="1" applyFill="1"/>
    <xf numFmtId="44" fontId="10" fillId="9" borderId="0" xfId="3" applyNumberFormat="1" applyFill="1"/>
    <xf numFmtId="0" fontId="10" fillId="9" borderId="0" xfId="3" applyFill="1" applyBorder="1"/>
    <xf numFmtId="0" fontId="10" fillId="9" borderId="0" xfId="3" applyFill="1"/>
    <xf numFmtId="0" fontId="9" fillId="9" borderId="0" xfId="3" applyFont="1" applyFill="1"/>
    <xf numFmtId="165" fontId="10" fillId="9" borderId="0" xfId="3" applyNumberFormat="1" applyFill="1" applyBorder="1"/>
    <xf numFmtId="44" fontId="9" fillId="9" borderId="0" xfId="3" applyNumberFormat="1" applyFont="1" applyFill="1"/>
    <xf numFmtId="44" fontId="10" fillId="9" borderId="0" xfId="3" applyNumberFormat="1" applyFont="1" applyFill="1" applyBorder="1"/>
    <xf numFmtId="44" fontId="10" fillId="9" borderId="0" xfId="3" applyNumberFormat="1" applyFill="1" applyBorder="1"/>
    <xf numFmtId="44" fontId="9" fillId="9" borderId="0" xfId="3" applyNumberFormat="1" applyFont="1" applyFill="1" applyBorder="1"/>
    <xf numFmtId="44" fontId="10" fillId="9" borderId="29" xfId="3" applyNumberFormat="1" applyFill="1" applyBorder="1"/>
    <xf numFmtId="0" fontId="10" fillId="9" borderId="29" xfId="3" applyFill="1" applyBorder="1"/>
    <xf numFmtId="44" fontId="10" fillId="9" borderId="50" xfId="3" applyNumberFormat="1" applyFill="1" applyBorder="1"/>
    <xf numFmtId="44" fontId="10" fillId="0" borderId="51" xfId="3" applyNumberFormat="1" applyBorder="1"/>
    <xf numFmtId="44" fontId="10" fillId="0" borderId="53" xfId="3" applyNumberFormat="1" applyBorder="1"/>
    <xf numFmtId="44" fontId="9" fillId="0" borderId="3" xfId="3" applyNumberFormat="1" applyFont="1" applyBorder="1"/>
    <xf numFmtId="44" fontId="50" fillId="9" borderId="0" xfId="3" applyNumberFormat="1" applyFont="1" applyFill="1"/>
    <xf numFmtId="44" fontId="9" fillId="9" borderId="1" xfId="3" applyNumberFormat="1" applyFont="1" applyFill="1" applyBorder="1"/>
    <xf numFmtId="44" fontId="10" fillId="9" borderId="29" xfId="3" applyNumberFormat="1" applyFill="1" applyBorder="1" applyAlignment="1">
      <alignment horizontal="center"/>
    </xf>
    <xf numFmtId="0" fontId="10" fillId="9" borderId="66" xfId="3" applyFont="1" applyFill="1" applyBorder="1"/>
    <xf numFmtId="0" fontId="10" fillId="9" borderId="60" xfId="3" applyFont="1" applyFill="1" applyBorder="1"/>
    <xf numFmtId="0" fontId="10" fillId="22" borderId="65" xfId="3" applyFont="1" applyFill="1" applyBorder="1"/>
    <xf numFmtId="44" fontId="10" fillId="22" borderId="32" xfId="3" applyNumberFormat="1" applyFill="1" applyBorder="1"/>
    <xf numFmtId="44" fontId="10" fillId="22" borderId="32" xfId="3" applyNumberFormat="1" applyFill="1" applyBorder="1" applyAlignment="1">
      <alignment horizontal="center"/>
    </xf>
    <xf numFmtId="0" fontId="10" fillId="22" borderId="32" xfId="3" applyFill="1" applyBorder="1"/>
    <xf numFmtId="44" fontId="10" fillId="22" borderId="64" xfId="3" applyNumberFormat="1" applyFill="1" applyBorder="1"/>
    <xf numFmtId="0" fontId="9" fillId="30" borderId="22" xfId="3" applyFont="1" applyFill="1" applyBorder="1" applyAlignment="1">
      <alignment horizontal="center" vertical="center"/>
    </xf>
    <xf numFmtId="44" fontId="9" fillId="30" borderId="22" xfId="4" applyNumberFormat="1" applyFont="1" applyFill="1" applyBorder="1" applyAlignment="1">
      <alignment horizontal="center" vertical="center" wrapText="1"/>
    </xf>
    <xf numFmtId="0" fontId="9" fillId="30" borderId="22" xfId="3" applyFont="1" applyFill="1" applyBorder="1" applyAlignment="1">
      <alignment horizontal="center" vertical="center" wrapText="1"/>
    </xf>
    <xf numFmtId="0" fontId="9" fillId="9" borderId="0" xfId="3" applyFont="1" applyFill="1" applyAlignment="1">
      <alignment horizontal="right"/>
    </xf>
    <xf numFmtId="44" fontId="10" fillId="9" borderId="68" xfId="3" applyNumberFormat="1" applyFill="1" applyBorder="1"/>
    <xf numFmtId="44" fontId="10" fillId="9" borderId="59" xfId="3" applyNumberFormat="1" applyFill="1" applyBorder="1"/>
    <xf numFmtId="44" fontId="10" fillId="9" borderId="69" xfId="3" applyNumberFormat="1" applyFill="1" applyBorder="1"/>
    <xf numFmtId="166" fontId="10" fillId="9" borderId="0" xfId="0" applyNumberFormat="1" applyFont="1" applyFill="1" applyProtection="1"/>
    <xf numFmtId="0" fontId="0" fillId="0" borderId="0" xfId="0"/>
    <xf numFmtId="0" fontId="10" fillId="31" borderId="0" xfId="0" applyFont="1" applyFill="1" applyAlignment="1">
      <alignment horizontal="center"/>
    </xf>
    <xf numFmtId="0" fontId="10" fillId="0" borderId="0" xfId="0" applyFont="1"/>
    <xf numFmtId="7" fontId="10" fillId="0" borderId="0" xfId="3" applyNumberFormat="1" applyAlignment="1">
      <alignment horizontal="right"/>
    </xf>
    <xf numFmtId="0" fontId="10" fillId="0" borderId="5" xfId="0" applyFont="1" applyBorder="1"/>
    <xf numFmtId="0" fontId="10" fillId="31" borderId="5" xfId="0" applyFont="1" applyFill="1" applyBorder="1" applyAlignment="1">
      <alignment horizontal="center"/>
    </xf>
    <xf numFmtId="0" fontId="10" fillId="9" borderId="0" xfId="3" applyFill="1" applyBorder="1" applyAlignment="1">
      <alignment horizontal="right"/>
    </xf>
    <xf numFmtId="0" fontId="48" fillId="0" borderId="29" xfId="0" applyNumberFormat="1" applyFont="1" applyBorder="1"/>
    <xf numFmtId="0" fontId="44" fillId="0" borderId="0" xfId="10" applyFont="1" applyBorder="1" applyAlignment="1">
      <alignment vertical="center"/>
    </xf>
    <xf numFmtId="0" fontId="54" fillId="0" borderId="29" xfId="0" applyNumberFormat="1" applyFont="1" applyBorder="1"/>
    <xf numFmtId="0" fontId="44" fillId="0" borderId="29" xfId="10" applyFont="1" applyBorder="1" applyAlignment="1">
      <alignment vertical="center"/>
    </xf>
    <xf numFmtId="0" fontId="44" fillId="0" borderId="28" xfId="10" applyFont="1" applyBorder="1" applyAlignment="1">
      <alignment vertical="center"/>
    </xf>
    <xf numFmtId="0" fontId="44" fillId="0" borderId="27" xfId="10" applyFont="1" applyBorder="1" applyAlignment="1">
      <alignment vertical="center"/>
    </xf>
    <xf numFmtId="44" fontId="0" fillId="10" borderId="38" xfId="0" applyNumberFormat="1" applyFill="1" applyBorder="1"/>
    <xf numFmtId="44" fontId="0" fillId="10" borderId="44" xfId="0" applyNumberFormat="1" applyFill="1" applyBorder="1"/>
    <xf numFmtId="44" fontId="0" fillId="10" borderId="39" xfId="0" applyNumberFormat="1" applyFill="1" applyBorder="1"/>
    <xf numFmtId="0" fontId="0" fillId="10" borderId="39" xfId="0" applyFill="1" applyBorder="1"/>
    <xf numFmtId="44" fontId="0" fillId="10" borderId="40" xfId="0" applyNumberFormat="1" applyFill="1" applyBorder="1"/>
    <xf numFmtId="44" fontId="0" fillId="32" borderId="38" xfId="0" applyNumberFormat="1" applyFill="1" applyBorder="1"/>
    <xf numFmtId="44" fontId="0" fillId="32" borderId="44" xfId="0" applyNumberFormat="1" applyFill="1" applyBorder="1"/>
    <xf numFmtId="44" fontId="0" fillId="32" borderId="39" xfId="0" applyNumberFormat="1" applyFill="1" applyBorder="1"/>
    <xf numFmtId="0" fontId="0" fillId="32" borderId="39" xfId="0" applyFill="1" applyBorder="1"/>
    <xf numFmtId="44" fontId="0" fillId="32" borderId="40" xfId="0" applyNumberFormat="1" applyFill="1" applyBorder="1"/>
    <xf numFmtId="7" fontId="0" fillId="9" borderId="0" xfId="0" applyNumberFormat="1" applyFill="1" applyBorder="1" applyAlignment="1"/>
    <xf numFmtId="165" fontId="10" fillId="9" borderId="12" xfId="0" applyNumberFormat="1" applyFont="1" applyFill="1" applyBorder="1"/>
    <xf numFmtId="165" fontId="0" fillId="5" borderId="0" xfId="0" applyNumberFormat="1" applyFill="1"/>
    <xf numFmtId="0" fontId="10" fillId="33" borderId="0" xfId="0" applyFont="1" applyFill="1"/>
    <xf numFmtId="44" fontId="0" fillId="13" borderId="38" xfId="0" applyNumberFormat="1" applyFill="1" applyBorder="1"/>
    <xf numFmtId="44" fontId="0" fillId="13" borderId="44" xfId="0" applyNumberFormat="1" applyFill="1" applyBorder="1"/>
    <xf numFmtId="44" fontId="0" fillId="13" borderId="39" xfId="0" applyNumberFormat="1" applyFill="1" applyBorder="1"/>
    <xf numFmtId="0" fontId="0" fillId="13" borderId="39" xfId="0" applyFill="1" applyBorder="1"/>
    <xf numFmtId="44" fontId="0" fillId="13" borderId="40" xfId="0" applyNumberFormat="1" applyFill="1" applyBorder="1"/>
    <xf numFmtId="0" fontId="25" fillId="9" borderId="20" xfId="0" applyFont="1" applyFill="1" applyBorder="1"/>
    <xf numFmtId="0" fontId="25" fillId="9" borderId="0" xfId="0" applyFont="1" applyFill="1" applyBorder="1"/>
    <xf numFmtId="0" fontId="25" fillId="9" borderId="21" xfId="0" applyFont="1" applyFill="1" applyBorder="1"/>
    <xf numFmtId="175" fontId="10" fillId="0" borderId="0" xfId="0" applyNumberFormat="1" applyFont="1"/>
    <xf numFmtId="44" fontId="10" fillId="0" borderId="49" xfId="3" applyNumberFormat="1" applyFill="1" applyBorder="1"/>
    <xf numFmtId="44" fontId="10" fillId="0" borderId="28" xfId="3" applyNumberFormat="1" applyFill="1" applyBorder="1"/>
    <xf numFmtId="44" fontId="10" fillId="22" borderId="19" xfId="3" applyNumberFormat="1" applyFill="1" applyBorder="1"/>
    <xf numFmtId="0" fontId="10" fillId="11" borderId="65" xfId="0" applyFont="1" applyFill="1" applyBorder="1"/>
    <xf numFmtId="44" fontId="0" fillId="11" borderId="76" xfId="0" applyNumberFormat="1" applyFill="1" applyBorder="1"/>
    <xf numFmtId="44" fontId="0" fillId="11" borderId="32" xfId="0" applyNumberFormat="1" applyFill="1" applyBorder="1"/>
    <xf numFmtId="0" fontId="0" fillId="11" borderId="32" xfId="0" applyFill="1" applyBorder="1"/>
    <xf numFmtId="0" fontId="25" fillId="11" borderId="65" xfId="0" applyFont="1" applyFill="1" applyBorder="1"/>
    <xf numFmtId="0" fontId="38" fillId="11" borderId="33" xfId="0" applyFont="1" applyFill="1" applyBorder="1"/>
    <xf numFmtId="44" fontId="38" fillId="11" borderId="33" xfId="0" applyNumberFormat="1" applyFont="1" applyFill="1" applyBorder="1"/>
    <xf numFmtId="0" fontId="56" fillId="9" borderId="12" xfId="0" applyFont="1" applyFill="1" applyBorder="1" applyAlignment="1">
      <alignment horizontal="right"/>
    </xf>
    <xf numFmtId="0" fontId="38" fillId="9" borderId="12" xfId="0" applyFont="1" applyFill="1" applyBorder="1"/>
    <xf numFmtId="44" fontId="38" fillId="9" borderId="12" xfId="0" applyNumberFormat="1" applyFont="1" applyFill="1" applyBorder="1"/>
    <xf numFmtId="0" fontId="9" fillId="9" borderId="14" xfId="0" applyFont="1" applyFill="1" applyBorder="1" applyAlignment="1">
      <alignment horizontal="right"/>
    </xf>
    <xf numFmtId="0" fontId="9" fillId="9" borderId="4" xfId="0" applyFont="1" applyFill="1" applyBorder="1" applyAlignment="1">
      <alignment horizontal="right"/>
    </xf>
    <xf numFmtId="44" fontId="0" fillId="9" borderId="0" xfId="0" applyNumberFormat="1" applyFill="1" applyBorder="1"/>
    <xf numFmtId="44" fontId="0" fillId="11" borderId="77" xfId="0" applyNumberFormat="1" applyFill="1" applyBorder="1"/>
    <xf numFmtId="44" fontId="0" fillId="11" borderId="26" xfId="0" applyNumberFormat="1" applyFill="1" applyBorder="1"/>
    <xf numFmtId="44" fontId="0" fillId="11" borderId="78" xfId="0" applyNumberFormat="1" applyFill="1" applyBorder="1"/>
    <xf numFmtId="44" fontId="38" fillId="11" borderId="79" xfId="0" applyNumberFormat="1" applyFont="1" applyFill="1" applyBorder="1"/>
    <xf numFmtId="44" fontId="0" fillId="11" borderId="18" xfId="0" applyNumberFormat="1" applyFill="1" applyBorder="1"/>
    <xf numFmtId="44" fontId="0" fillId="0" borderId="78" xfId="0" applyNumberFormat="1" applyBorder="1"/>
    <xf numFmtId="0" fontId="10" fillId="9" borderId="10" xfId="0" applyFont="1" applyFill="1" applyBorder="1" applyAlignment="1">
      <alignment vertical="center" wrapText="1"/>
    </xf>
    <xf numFmtId="0" fontId="0" fillId="22" borderId="0" xfId="0" applyFont="1" applyFill="1"/>
    <xf numFmtId="0" fontId="38" fillId="0" borderId="0" xfId="0" applyFont="1"/>
    <xf numFmtId="44" fontId="10" fillId="0" borderId="0" xfId="3" applyNumberFormat="1"/>
    <xf numFmtId="172" fontId="58" fillId="0" borderId="0" xfId="0" applyNumberFormat="1" applyFont="1"/>
    <xf numFmtId="44" fontId="0" fillId="10" borderId="25" xfId="0" applyNumberFormat="1" applyFill="1" applyBorder="1"/>
    <xf numFmtId="44" fontId="0" fillId="10" borderId="22" xfId="0" applyNumberFormat="1" applyFill="1" applyBorder="1"/>
    <xf numFmtId="0" fontId="10" fillId="10" borderId="22" xfId="0" applyFont="1" applyFill="1" applyBorder="1"/>
    <xf numFmtId="44" fontId="9" fillId="10" borderId="25" xfId="0" applyNumberFormat="1" applyFont="1" applyFill="1" applyBorder="1"/>
    <xf numFmtId="165" fontId="9" fillId="10" borderId="22" xfId="0" applyNumberFormat="1" applyFont="1" applyFill="1" applyBorder="1"/>
    <xf numFmtId="0" fontId="9" fillId="10" borderId="22" xfId="0" applyFont="1" applyFill="1" applyBorder="1"/>
    <xf numFmtId="165" fontId="0" fillId="10" borderId="22" xfId="0" applyNumberFormat="1" applyFill="1" applyBorder="1"/>
    <xf numFmtId="165" fontId="9" fillId="24" borderId="0" xfId="0" applyNumberFormat="1" applyFont="1" applyFill="1"/>
    <xf numFmtId="0" fontId="10" fillId="5" borderId="0" xfId="0" applyFont="1" applyFill="1" applyBorder="1"/>
    <xf numFmtId="0" fontId="0" fillId="9" borderId="0" xfId="0" applyNumberFormat="1" applyFill="1" applyAlignment="1" applyProtection="1">
      <alignment horizontal="center"/>
    </xf>
    <xf numFmtId="0" fontId="37" fillId="9" borderId="0" xfId="0" applyFont="1" applyFill="1" applyAlignment="1">
      <alignment horizontal="center"/>
    </xf>
    <xf numFmtId="0" fontId="37" fillId="9" borderId="0" xfId="0" applyFont="1" applyFill="1"/>
    <xf numFmtId="0" fontId="38" fillId="9" borderId="0" xfId="0" applyFont="1" applyFill="1"/>
    <xf numFmtId="0" fontId="0" fillId="9" borderId="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25" fillId="9" borderId="0" xfId="0" applyFont="1" applyFill="1" applyAlignment="1"/>
    <xf numFmtId="0" fontId="28" fillId="9" borderId="0" xfId="0" applyFont="1" applyFill="1" applyAlignment="1">
      <alignment horizontal="center"/>
    </xf>
    <xf numFmtId="0" fontId="59" fillId="0" borderId="0" xfId="0" applyFont="1"/>
    <xf numFmtId="0" fontId="31" fillId="5" borderId="0" xfId="0" applyFont="1" applyFill="1" applyBorder="1" applyAlignment="1"/>
    <xf numFmtId="0" fontId="20" fillId="9" borderId="20" xfId="0" applyFont="1" applyFill="1" applyBorder="1"/>
    <xf numFmtId="0" fontId="20" fillId="9" borderId="0" xfId="0" applyFont="1" applyFill="1" applyBorder="1"/>
    <xf numFmtId="0" fontId="20" fillId="9" borderId="21" xfId="0" applyFont="1" applyFill="1" applyBorder="1"/>
    <xf numFmtId="0" fontId="60" fillId="0" borderId="0" xfId="0" applyFont="1" applyFill="1"/>
    <xf numFmtId="0" fontId="10" fillId="9" borderId="0" xfId="3" applyFont="1" applyFill="1" applyAlignment="1">
      <alignment horizontal="center"/>
    </xf>
    <xf numFmtId="0" fontId="12" fillId="9" borderId="0" xfId="0" applyFont="1" applyFill="1"/>
    <xf numFmtId="7" fontId="8" fillId="23" borderId="48" xfId="9" applyNumberFormat="1" applyFill="1" applyBorder="1"/>
    <xf numFmtId="0" fontId="12" fillId="5" borderId="0" xfId="0" applyFont="1" applyFill="1"/>
    <xf numFmtId="0" fontId="23" fillId="0" borderId="0" xfId="0" applyFont="1" applyBorder="1" applyAlignment="1">
      <alignment horizontal="right"/>
    </xf>
    <xf numFmtId="0" fontId="58" fillId="0" borderId="0" xfId="0" applyFont="1"/>
    <xf numFmtId="0" fontId="32" fillId="0" borderId="0" xfId="0" applyFont="1"/>
    <xf numFmtId="0" fontId="0" fillId="33" borderId="12" xfId="0" applyFill="1" applyBorder="1"/>
    <xf numFmtId="165" fontId="10" fillId="9" borderId="0" xfId="0" applyNumberFormat="1" applyFont="1" applyFill="1"/>
    <xf numFmtId="165" fontId="0" fillId="33" borderId="22" xfId="0" applyNumberFormat="1" applyFill="1" applyBorder="1"/>
    <xf numFmtId="44" fontId="0" fillId="0" borderId="7" xfId="0" applyNumberFormat="1" applyBorder="1"/>
    <xf numFmtId="44" fontId="0" fillId="0" borderId="48" xfId="0" applyNumberFormat="1" applyBorder="1"/>
    <xf numFmtId="44" fontId="0" fillId="5" borderId="48" xfId="0" applyNumberFormat="1" applyFill="1" applyBorder="1"/>
    <xf numFmtId="165" fontId="0" fillId="0" borderId="8" xfId="0" applyNumberFormat="1" applyBorder="1"/>
    <xf numFmtId="165" fontId="0" fillId="33" borderId="7" xfId="0" applyNumberFormat="1" applyFill="1" applyBorder="1"/>
    <xf numFmtId="7" fontId="0" fillId="0" borderId="8" xfId="0" applyNumberFormat="1" applyBorder="1" applyAlignment="1"/>
    <xf numFmtId="165" fontId="0" fillId="9" borderId="0" xfId="0" applyNumberFormat="1" applyFill="1" applyAlignment="1">
      <alignment horizontal="right"/>
    </xf>
    <xf numFmtId="0" fontId="2" fillId="9" borderId="20" xfId="0" applyNumberFormat="1" applyFont="1" applyFill="1" applyBorder="1" applyAlignment="1" applyProtection="1">
      <alignment horizontal="left"/>
    </xf>
    <xf numFmtId="0" fontId="2" fillId="9" borderId="0" xfId="0" applyNumberFormat="1" applyFont="1" applyFill="1" applyBorder="1" applyAlignment="1" applyProtection="1">
      <alignment horizontal="left"/>
    </xf>
    <xf numFmtId="168" fontId="0" fillId="9" borderId="0" xfId="0" applyNumberFormat="1" applyFill="1" applyBorder="1" applyAlignment="1">
      <alignment horizontal="left"/>
    </xf>
    <xf numFmtId="165" fontId="9" fillId="9" borderId="0" xfId="0" applyNumberFormat="1" applyFont="1" applyFill="1" applyBorder="1"/>
    <xf numFmtId="44" fontId="2" fillId="9" borderId="30" xfId="0" applyNumberFormat="1" applyFont="1" applyFill="1" applyBorder="1" applyAlignment="1">
      <alignment horizontal="center"/>
    </xf>
    <xf numFmtId="44" fontId="2" fillId="9" borderId="30" xfId="0" applyNumberFormat="1" applyFont="1" applyFill="1" applyBorder="1"/>
    <xf numFmtId="172" fontId="58" fillId="9" borderId="0" xfId="0" applyNumberFormat="1" applyFont="1" applyFill="1"/>
    <xf numFmtId="0" fontId="48" fillId="9" borderId="29" xfId="0" applyFont="1" applyFill="1" applyBorder="1"/>
    <xf numFmtId="8" fontId="48" fillId="9" borderId="29" xfId="0" applyNumberFormat="1" applyFont="1" applyFill="1" applyBorder="1"/>
    <xf numFmtId="8" fontId="44" fillId="0" borderId="0" xfId="10" applyNumberFormat="1" applyFont="1"/>
    <xf numFmtId="0" fontId="48" fillId="9" borderId="0" xfId="0" applyFont="1" applyFill="1"/>
    <xf numFmtId="8" fontId="48" fillId="9" borderId="30" xfId="0" applyNumberFormat="1" applyFont="1" applyFill="1" applyBorder="1"/>
    <xf numFmtId="0" fontId="48" fillId="9" borderId="30" xfId="0" applyFont="1" applyFill="1" applyBorder="1"/>
    <xf numFmtId="165" fontId="48" fillId="9" borderId="29" xfId="0" applyNumberFormat="1" applyFont="1" applyFill="1" applyBorder="1"/>
    <xf numFmtId="44" fontId="0" fillId="9" borderId="41" xfId="0" applyNumberFormat="1" applyFill="1" applyBorder="1"/>
    <xf numFmtId="44" fontId="0" fillId="9" borderId="30" xfId="0" applyNumberFormat="1" applyFill="1" applyBorder="1"/>
    <xf numFmtId="44" fontId="10" fillId="9" borderId="30" xfId="0" applyNumberFormat="1" applyFont="1" applyFill="1" applyBorder="1" applyAlignment="1">
      <alignment vertical="center"/>
    </xf>
    <xf numFmtId="44" fontId="10" fillId="9" borderId="42" xfId="0" applyNumberFormat="1" applyFont="1" applyFill="1" applyBorder="1" applyAlignment="1">
      <alignment vertical="center"/>
    </xf>
    <xf numFmtId="44" fontId="0" fillId="9" borderId="36" xfId="0" applyNumberFormat="1" applyFill="1" applyBorder="1"/>
    <xf numFmtId="44" fontId="0" fillId="9" borderId="31" xfId="0" applyNumberFormat="1" applyFill="1" applyBorder="1"/>
    <xf numFmtId="44" fontId="0" fillId="9" borderId="31" xfId="0" applyNumberFormat="1" applyFill="1" applyBorder="1" applyAlignment="1">
      <alignment vertical="center"/>
    </xf>
    <xf numFmtId="44" fontId="0" fillId="9" borderId="37" xfId="0" applyNumberFormat="1" applyFill="1" applyBorder="1" applyAlignment="1">
      <alignment vertical="center"/>
    </xf>
    <xf numFmtId="44" fontId="0" fillId="9" borderId="71" xfId="0" applyNumberFormat="1" applyFill="1" applyBorder="1"/>
    <xf numFmtId="44" fontId="0" fillId="9" borderId="72" xfId="0" applyNumberFormat="1" applyFill="1" applyBorder="1"/>
    <xf numFmtId="0" fontId="0" fillId="9" borderId="72" xfId="0" applyFill="1" applyBorder="1"/>
    <xf numFmtId="174" fontId="0" fillId="9" borderId="32" xfId="0" applyNumberFormat="1" applyFill="1" applyBorder="1"/>
    <xf numFmtId="44" fontId="0" fillId="9" borderId="32" xfId="0" applyNumberFormat="1" applyFill="1" applyBorder="1"/>
    <xf numFmtId="44" fontId="10" fillId="0" borderId="0" xfId="0" applyNumberFormat="1" applyFont="1" applyBorder="1"/>
    <xf numFmtId="44" fontId="0" fillId="9" borderId="53" xfId="0" applyNumberFormat="1" applyFill="1" applyBorder="1"/>
    <xf numFmtId="0" fontId="0" fillId="9" borderId="65" xfId="0" applyFill="1" applyBorder="1"/>
    <xf numFmtId="44" fontId="0" fillId="9" borderId="76" xfId="0" applyNumberFormat="1" applyFill="1" applyBorder="1"/>
    <xf numFmtId="44" fontId="0" fillId="9" borderId="18" xfId="0" applyNumberFormat="1" applyFill="1" applyBorder="1"/>
    <xf numFmtId="0" fontId="1" fillId="9" borderId="20" xfId="0" applyNumberFormat="1" applyFont="1" applyFill="1" applyBorder="1" applyAlignment="1" applyProtection="1">
      <alignment horizontal="left"/>
    </xf>
    <xf numFmtId="44" fontId="0" fillId="0" borderId="29" xfId="0" applyNumberFormat="1" applyBorder="1" applyAlignment="1">
      <alignment horizontal="center"/>
    </xf>
    <xf numFmtId="0" fontId="10" fillId="22" borderId="70" xfId="3" applyFont="1" applyFill="1" applyBorder="1"/>
    <xf numFmtId="44" fontId="10" fillId="22" borderId="17" xfId="3" applyNumberFormat="1" applyFill="1" applyBorder="1"/>
    <xf numFmtId="44" fontId="10" fillId="22" borderId="30" xfId="3" applyNumberFormat="1" applyFill="1" applyBorder="1"/>
    <xf numFmtId="44" fontId="10" fillId="22" borderId="30" xfId="3" applyNumberFormat="1" applyFill="1" applyBorder="1" applyAlignment="1">
      <alignment horizontal="center"/>
    </xf>
    <xf numFmtId="0" fontId="10" fillId="22" borderId="30" xfId="3" applyFill="1" applyBorder="1"/>
    <xf numFmtId="44" fontId="10" fillId="22" borderId="42" xfId="3" applyNumberFormat="1" applyFill="1" applyBorder="1"/>
    <xf numFmtId="0" fontId="10" fillId="9" borderId="62" xfId="3" applyFont="1" applyFill="1" applyBorder="1"/>
    <xf numFmtId="44" fontId="10" fillId="9" borderId="63" xfId="3" applyNumberFormat="1" applyFill="1" applyBorder="1"/>
    <xf numFmtId="44" fontId="10" fillId="9" borderId="55" xfId="3" applyNumberFormat="1" applyFill="1" applyBorder="1"/>
    <xf numFmtId="44" fontId="10" fillId="9" borderId="55" xfId="3" applyNumberFormat="1" applyFill="1" applyBorder="1" applyAlignment="1">
      <alignment horizontal="center"/>
    </xf>
    <xf numFmtId="0" fontId="10" fillId="9" borderId="55" xfId="3" applyFill="1" applyBorder="1"/>
    <xf numFmtId="44" fontId="10" fillId="9" borderId="56" xfId="3" applyNumberFormat="1" applyFill="1" applyBorder="1"/>
    <xf numFmtId="0" fontId="25" fillId="9" borderId="0" xfId="0" applyFont="1" applyFill="1"/>
    <xf numFmtId="0" fontId="24" fillId="9" borderId="0" xfId="0" applyFont="1" applyFill="1"/>
    <xf numFmtId="165" fontId="9" fillId="9" borderId="0" xfId="1" applyNumberFormat="1" applyFont="1" applyFill="1"/>
    <xf numFmtId="44" fontId="9" fillId="0" borderId="0" xfId="0" applyNumberFormat="1" applyFont="1" applyBorder="1"/>
    <xf numFmtId="0" fontId="9" fillId="5" borderId="25" xfId="0" applyFont="1" applyFill="1" applyBorder="1" applyAlignment="1">
      <alignment horizontal="center"/>
    </xf>
    <xf numFmtId="0" fontId="9" fillId="5" borderId="46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0" fillId="9" borderId="1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top"/>
    </xf>
    <xf numFmtId="0" fontId="12" fillId="9" borderId="0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49" fontId="23" fillId="9" borderId="18" xfId="0" applyNumberFormat="1" applyFont="1" applyFill="1" applyBorder="1" applyAlignment="1">
      <alignment horizontal="center"/>
    </xf>
    <xf numFmtId="49" fontId="23" fillId="9" borderId="19" xfId="0" applyNumberFormat="1" applyFont="1" applyFill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44" fontId="0" fillId="0" borderId="28" xfId="0" applyNumberFormat="1" applyBorder="1" applyAlignment="1">
      <alignment horizontal="center"/>
    </xf>
    <xf numFmtId="0" fontId="23" fillId="6" borderId="20" xfId="0" applyFont="1" applyFill="1" applyBorder="1" applyAlignment="1">
      <alignment horizontal="right"/>
    </xf>
    <xf numFmtId="0" fontId="23" fillId="6" borderId="0" xfId="0" applyFont="1" applyFill="1" applyBorder="1" applyAlignment="1">
      <alignment horizontal="right"/>
    </xf>
    <xf numFmtId="44" fontId="23" fillId="6" borderId="26" xfId="0" applyNumberFormat="1" applyFont="1" applyFill="1" applyBorder="1" applyAlignment="1">
      <alignment horizontal="center"/>
    </xf>
    <xf numFmtId="44" fontId="23" fillId="6" borderId="28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3" fillId="9" borderId="20" xfId="0" applyFont="1" applyFill="1" applyBorder="1" applyAlignment="1">
      <alignment horizontal="right"/>
    </xf>
    <xf numFmtId="0" fontId="23" fillId="9" borderId="0" xfId="0" applyFont="1" applyFill="1" applyBorder="1" applyAlignment="1">
      <alignment horizontal="right"/>
    </xf>
    <xf numFmtId="44" fontId="23" fillId="6" borderId="15" xfId="0" applyNumberFormat="1" applyFont="1" applyFill="1" applyBorder="1" applyAlignment="1">
      <alignment horizontal="center"/>
    </xf>
    <xf numFmtId="165" fontId="23" fillId="6" borderId="26" xfId="0" applyNumberFormat="1" applyFont="1" applyFill="1" applyBorder="1" applyAlignment="1">
      <alignment horizontal="right"/>
    </xf>
    <xf numFmtId="44" fontId="23" fillId="6" borderId="28" xfId="0" applyNumberFormat="1" applyFont="1" applyFill="1" applyBorder="1" applyAlignment="1">
      <alignment horizontal="right"/>
    </xf>
    <xf numFmtId="0" fontId="23" fillId="6" borderId="21" xfId="0" applyFont="1" applyFill="1" applyBorder="1" applyAlignment="1">
      <alignment horizontal="right"/>
    </xf>
    <xf numFmtId="0" fontId="1" fillId="9" borderId="20" xfId="0" applyNumberFormat="1" applyFont="1" applyFill="1" applyBorder="1" applyAlignment="1" applyProtection="1">
      <alignment horizontal="left"/>
    </xf>
    <xf numFmtId="0" fontId="2" fillId="9" borderId="0" xfId="0" applyNumberFormat="1" applyFont="1" applyFill="1" applyBorder="1" applyAlignment="1" applyProtection="1">
      <alignment horizontal="left"/>
    </xf>
    <xf numFmtId="0" fontId="2" fillId="9" borderId="20" xfId="0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9" borderId="0" xfId="3" applyFill="1" applyAlignment="1">
      <alignment horizontal="right"/>
    </xf>
    <xf numFmtId="0" fontId="10" fillId="6" borderId="7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/>
    </xf>
    <xf numFmtId="44" fontId="9" fillId="9" borderId="12" xfId="0" applyNumberFormat="1" applyFont="1" applyFill="1" applyBorder="1" applyAlignment="1">
      <alignment horizontal="center"/>
    </xf>
    <xf numFmtId="44" fontId="9" fillId="9" borderId="12" xfId="3" applyNumberFormat="1" applyFont="1" applyFill="1" applyBorder="1" applyAlignment="1">
      <alignment horizontal="right"/>
    </xf>
    <xf numFmtId="44" fontId="9" fillId="9" borderId="45" xfId="3" applyNumberFormat="1" applyFont="1" applyFill="1" applyBorder="1" applyAlignment="1">
      <alignment horizontal="right"/>
    </xf>
    <xf numFmtId="0" fontId="51" fillId="23" borderId="25" xfId="3" applyFont="1" applyFill="1" applyBorder="1" applyAlignment="1">
      <alignment horizontal="center"/>
    </xf>
    <xf numFmtId="0" fontId="51" fillId="23" borderId="46" xfId="3" applyFont="1" applyFill="1" applyBorder="1" applyAlignment="1">
      <alignment horizontal="center"/>
    </xf>
    <xf numFmtId="0" fontId="51" fillId="23" borderId="47" xfId="3" applyFont="1" applyFill="1" applyBorder="1" applyAlignment="1">
      <alignment horizontal="center"/>
    </xf>
    <xf numFmtId="0" fontId="9" fillId="9" borderId="0" xfId="3" applyFont="1" applyFill="1" applyAlignment="1">
      <alignment horizontal="right"/>
    </xf>
    <xf numFmtId="0" fontId="10" fillId="9" borderId="66" xfId="3" applyFont="1" applyFill="1" applyBorder="1" applyAlignment="1">
      <alignment horizontal="right"/>
    </xf>
    <xf numFmtId="0" fontId="10" fillId="9" borderId="67" xfId="3" applyFont="1" applyFill="1" applyBorder="1" applyAlignment="1">
      <alignment horizontal="right"/>
    </xf>
    <xf numFmtId="0" fontId="10" fillId="9" borderId="68" xfId="3" applyFont="1" applyFill="1" applyBorder="1" applyAlignment="1">
      <alignment horizontal="right"/>
    </xf>
    <xf numFmtId="0" fontId="10" fillId="9" borderId="57" xfId="3" applyFont="1" applyFill="1" applyBorder="1" applyAlignment="1">
      <alignment horizontal="right"/>
    </xf>
    <xf numFmtId="0" fontId="10" fillId="9" borderId="27" xfId="3" applyFont="1" applyFill="1" applyBorder="1" applyAlignment="1">
      <alignment horizontal="right"/>
    </xf>
    <xf numFmtId="0" fontId="10" fillId="9" borderId="59" xfId="3" applyFont="1" applyFill="1" applyBorder="1" applyAlignment="1">
      <alignment horizontal="right"/>
    </xf>
    <xf numFmtId="0" fontId="10" fillId="9" borderId="58" xfId="3" applyFont="1" applyFill="1" applyBorder="1" applyAlignment="1">
      <alignment horizontal="right"/>
    </xf>
    <xf numFmtId="0" fontId="10" fillId="9" borderId="6" xfId="3" applyFont="1" applyFill="1" applyBorder="1" applyAlignment="1">
      <alignment horizontal="right"/>
    </xf>
    <xf numFmtId="0" fontId="10" fillId="9" borderId="69" xfId="3" applyFont="1" applyFill="1" applyBorder="1" applyAlignment="1">
      <alignment horizontal="right"/>
    </xf>
    <xf numFmtId="0" fontId="37" fillId="9" borderId="0" xfId="0" applyFont="1" applyFill="1" applyBorder="1" applyAlignment="1">
      <alignment horizontal="center"/>
    </xf>
    <xf numFmtId="0" fontId="9" fillId="21" borderId="25" xfId="0" applyFont="1" applyFill="1" applyBorder="1" applyAlignment="1">
      <alignment horizontal="center"/>
    </xf>
    <xf numFmtId="0" fontId="9" fillId="21" borderId="46" xfId="0" applyFont="1" applyFill="1" applyBorder="1" applyAlignment="1">
      <alignment horizontal="center"/>
    </xf>
    <xf numFmtId="0" fontId="9" fillId="21" borderId="47" xfId="0" applyFont="1" applyFill="1" applyBorder="1" applyAlignment="1">
      <alignment horizontal="center"/>
    </xf>
    <xf numFmtId="0" fontId="51" fillId="30" borderId="25" xfId="3" applyFont="1" applyFill="1" applyBorder="1" applyAlignment="1">
      <alignment horizontal="center"/>
    </xf>
    <xf numFmtId="0" fontId="51" fillId="30" borderId="46" xfId="3" applyFont="1" applyFill="1" applyBorder="1" applyAlignment="1">
      <alignment horizontal="center"/>
    </xf>
    <xf numFmtId="0" fontId="51" fillId="30" borderId="47" xfId="3" applyFont="1" applyFill="1" applyBorder="1" applyAlignment="1">
      <alignment horizontal="center"/>
    </xf>
    <xf numFmtId="0" fontId="10" fillId="9" borderId="70" xfId="0" applyFont="1" applyFill="1" applyBorder="1" applyAlignment="1">
      <alignment horizontal="left" vertical="center" wrapText="1"/>
    </xf>
    <xf numFmtId="0" fontId="10" fillId="9" borderId="48" xfId="0" applyFont="1" applyFill="1" applyBorder="1" applyAlignment="1">
      <alignment horizontal="left" vertical="center"/>
    </xf>
    <xf numFmtId="0" fontId="10" fillId="9" borderId="65" xfId="0" applyFont="1" applyFill="1" applyBorder="1" applyAlignment="1">
      <alignment horizontal="left" vertical="center"/>
    </xf>
    <xf numFmtId="0" fontId="10" fillId="9" borderId="73" xfId="0" applyFont="1" applyFill="1" applyBorder="1" applyAlignment="1">
      <alignment horizontal="right"/>
    </xf>
    <xf numFmtId="0" fontId="10" fillId="9" borderId="74" xfId="0" applyFont="1" applyFill="1" applyBorder="1" applyAlignment="1">
      <alignment horizontal="right"/>
    </xf>
    <xf numFmtId="0" fontId="10" fillId="9" borderId="75" xfId="0" applyFont="1" applyFill="1" applyBorder="1" applyAlignment="1">
      <alignment horizontal="right"/>
    </xf>
    <xf numFmtId="0" fontId="57" fillId="11" borderId="25" xfId="0" applyFont="1" applyFill="1" applyBorder="1" applyAlignment="1">
      <alignment horizontal="right"/>
    </xf>
    <xf numFmtId="0" fontId="57" fillId="11" borderId="46" xfId="0" applyFont="1" applyFill="1" applyBorder="1" applyAlignment="1">
      <alignment horizontal="right"/>
    </xf>
    <xf numFmtId="0" fontId="57" fillId="11" borderId="23" xfId="0" applyFont="1" applyFill="1" applyBorder="1" applyAlignment="1">
      <alignment horizontal="right"/>
    </xf>
    <xf numFmtId="0" fontId="40" fillId="11" borderId="58" xfId="0" applyFont="1" applyFill="1" applyBorder="1" applyAlignment="1">
      <alignment horizontal="right"/>
    </xf>
    <xf numFmtId="0" fontId="40" fillId="11" borderId="6" xfId="0" applyFont="1" applyFill="1" applyBorder="1" applyAlignment="1">
      <alignment horizontal="right"/>
    </xf>
    <xf numFmtId="0" fontId="40" fillId="11" borderId="63" xfId="0" applyFont="1" applyFill="1" applyBorder="1" applyAlignment="1">
      <alignment horizontal="right"/>
    </xf>
    <xf numFmtId="0" fontId="40" fillId="9" borderId="0" xfId="3" applyFont="1" applyFill="1" applyAlignment="1">
      <alignment horizontal="center"/>
    </xf>
    <xf numFmtId="0" fontId="40" fillId="9" borderId="0" xfId="3" applyFont="1" applyFill="1" applyAlignment="1">
      <alignment horizontal="left"/>
    </xf>
    <xf numFmtId="0" fontId="39" fillId="9" borderId="0" xfId="3" applyFont="1" applyFill="1" applyAlignment="1">
      <alignment horizontal="center"/>
    </xf>
    <xf numFmtId="0" fontId="31" fillId="0" borderId="5" xfId="10" applyFont="1" applyBorder="1" applyAlignment="1">
      <alignment horizontal="center" vertical="center"/>
    </xf>
    <xf numFmtId="0" fontId="44" fillId="0" borderId="25" xfId="10" applyFont="1" applyBorder="1" applyAlignment="1">
      <alignment horizontal="center" vertical="center" wrapText="1"/>
    </xf>
    <xf numFmtId="0" fontId="44" fillId="0" borderId="46" xfId="10" applyFont="1" applyBorder="1" applyAlignment="1">
      <alignment horizontal="center" vertical="center" wrapText="1"/>
    </xf>
    <xf numFmtId="0" fontId="44" fillId="0" borderId="47" xfId="10" applyFont="1" applyBorder="1" applyAlignment="1">
      <alignment horizontal="center" vertical="center" wrapText="1"/>
    </xf>
    <xf numFmtId="0" fontId="44" fillId="0" borderId="27" xfId="10" applyFont="1" applyBorder="1" applyAlignment="1">
      <alignment horizontal="right" vertical="center"/>
    </xf>
    <xf numFmtId="0" fontId="44" fillId="0" borderId="28" xfId="10" applyFont="1" applyBorder="1" applyAlignment="1">
      <alignment horizontal="right" vertical="center"/>
    </xf>
    <xf numFmtId="0" fontId="43" fillId="0" borderId="0" xfId="9" applyFont="1" applyAlignment="1">
      <alignment horizontal="center"/>
    </xf>
  </cellXfs>
  <cellStyles count="26">
    <cellStyle name="Comma" xfId="1" builtinId="3"/>
    <cellStyle name="Comma 2" xfId="12" xr:uid="{00000000-0005-0000-0000-000001000000}"/>
    <cellStyle name="Currency" xfId="2" builtinId="4"/>
    <cellStyle name="Currency 2" xfId="13" xr:uid="{00000000-0005-0000-0000-000003000000}"/>
    <cellStyle name="Currency 3" xfId="14" xr:uid="{00000000-0005-0000-0000-000004000000}"/>
    <cellStyle name="Hyperlink" xfId="5" builtinId="8"/>
    <cellStyle name="Hyperlink 2" xfId="6" xr:uid="{00000000-0005-0000-0000-000006000000}"/>
    <cellStyle name="Hyperlink 3" xfId="23" xr:uid="{00000000-0005-0000-0000-000007000000}"/>
    <cellStyle name="Normal" xfId="0" builtinId="0"/>
    <cellStyle name="Normal 2" xfId="3" xr:uid="{00000000-0005-0000-0000-000009000000}"/>
    <cellStyle name="Normal 2 2" xfId="7" xr:uid="{00000000-0005-0000-0000-00000A000000}"/>
    <cellStyle name="Normal 3" xfId="4" xr:uid="{00000000-0005-0000-0000-00000B000000}"/>
    <cellStyle name="Normal 4" xfId="8" xr:uid="{00000000-0005-0000-0000-00000C000000}"/>
    <cellStyle name="Normal 5" xfId="9" xr:uid="{00000000-0005-0000-0000-00000D000000}"/>
    <cellStyle name="Normal 5 2" xfId="16" xr:uid="{00000000-0005-0000-0000-00000E000000}"/>
    <cellStyle name="Normal 5 2 2" xfId="18" xr:uid="{00000000-0005-0000-0000-00000F000000}"/>
    <cellStyle name="Normal 5 2 3" xfId="20" xr:uid="{00000000-0005-0000-0000-000010000000}"/>
    <cellStyle name="Normal 5 2 4" xfId="22" xr:uid="{00000000-0005-0000-0000-000011000000}"/>
    <cellStyle name="Normal 5 2 5" xfId="25" xr:uid="{00000000-0005-0000-0000-000012000000}"/>
    <cellStyle name="Normal 5 3" xfId="15" xr:uid="{00000000-0005-0000-0000-000013000000}"/>
    <cellStyle name="Normal 5 4" xfId="17" xr:uid="{00000000-0005-0000-0000-000014000000}"/>
    <cellStyle name="Normal 5 5" xfId="19" xr:uid="{00000000-0005-0000-0000-000015000000}"/>
    <cellStyle name="Normal 5 6" xfId="21" xr:uid="{00000000-0005-0000-0000-000016000000}"/>
    <cellStyle name="Normal 5 7" xfId="24" xr:uid="{00000000-0005-0000-0000-000017000000}"/>
    <cellStyle name="Normal 6" xfId="10" xr:uid="{00000000-0005-0000-0000-000018000000}"/>
    <cellStyle name="Percent 2" xfId="11" xr:uid="{00000000-0005-0000-0000-000019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99CC"/>
      <color rgb="FFFF6699"/>
      <color rgb="FFE6B8B7"/>
      <color rgb="FFC25552"/>
      <color rgb="FFCCCCFF"/>
      <color rgb="FFFFFFCC"/>
      <color rgb="FF00FFFF"/>
      <color rgb="FFFCD5B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mailto:lbalanovich@sau8.org" TargetMode="External"/><Relationship Id="rId2" Type="http://schemas.openxmlformats.org/officeDocument/2006/relationships/hyperlink" Target="mailto:pdavies@sau29.org" TargetMode="External"/><Relationship Id="rId1" Type="http://schemas.openxmlformats.org/officeDocument/2006/relationships/hyperlink" Target="mailto:mpatry@govwentworth.k12.nh.us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lbalanovich@sau8.org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dkaminski@sau23.org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47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3.2" x14ac:dyDescent="0.25"/>
  <cols>
    <col min="1" max="1" width="25.5546875" bestFit="1" customWidth="1"/>
    <col min="2" max="2" width="31.6640625" customWidth="1"/>
    <col min="3" max="3" width="8.44140625" customWidth="1"/>
    <col min="4" max="4" width="10" style="36" customWidth="1"/>
    <col min="5" max="5" width="8" customWidth="1"/>
    <col min="6" max="7" width="6.33203125" customWidth="1"/>
    <col min="8" max="8" width="8" customWidth="1"/>
    <col min="9" max="10" width="7" customWidth="1"/>
    <col min="11" max="11" width="11.5546875" style="49" customWidth="1"/>
    <col min="12" max="12" width="19.6640625" style="92" customWidth="1"/>
    <col min="13" max="13" width="19.33203125" style="7" customWidth="1"/>
    <col min="14" max="14" width="13.5546875" customWidth="1"/>
    <col min="15" max="15" width="12.44140625" customWidth="1"/>
    <col min="16" max="16" width="14.44140625" customWidth="1"/>
    <col min="17" max="17" width="13.88671875" customWidth="1"/>
    <col min="18" max="19" width="9.109375" style="16" customWidth="1"/>
    <col min="20" max="20" width="9.109375" customWidth="1"/>
    <col min="21" max="21" width="11.109375" bestFit="1" customWidth="1"/>
    <col min="22" max="22" width="12.109375" bestFit="1" customWidth="1"/>
    <col min="23" max="23" width="15.33203125" bestFit="1" customWidth="1"/>
    <col min="25" max="25" width="15" bestFit="1" customWidth="1"/>
  </cols>
  <sheetData>
    <row r="1" spans="1:30" s="487" customFormat="1" ht="13.8" thickBot="1" x14ac:dyDescent="0.3">
      <c r="D1" s="490"/>
      <c r="K1" s="491"/>
      <c r="L1" s="492"/>
      <c r="M1" s="488"/>
      <c r="R1" s="489"/>
      <c r="S1" s="489"/>
      <c r="U1" s="1017" t="s">
        <v>614</v>
      </c>
      <c r="V1" s="1018"/>
      <c r="W1" s="1018"/>
      <c r="X1" s="1018"/>
      <c r="Y1" s="1019"/>
    </row>
    <row r="2" spans="1:30" ht="48.75" customHeight="1" thickBot="1" x14ac:dyDescent="0.3">
      <c r="A2" s="52" t="s">
        <v>57</v>
      </c>
      <c r="B2" s="102" t="s">
        <v>0</v>
      </c>
      <c r="C2" s="102"/>
      <c r="D2" s="98" t="s">
        <v>485</v>
      </c>
      <c r="E2" s="98" t="s">
        <v>326</v>
      </c>
      <c r="F2" s="98" t="s">
        <v>327</v>
      </c>
      <c r="G2" s="98" t="s">
        <v>328</v>
      </c>
      <c r="H2" s="98" t="s">
        <v>329</v>
      </c>
      <c r="I2" s="98" t="s">
        <v>330</v>
      </c>
      <c r="J2" s="98" t="s">
        <v>331</v>
      </c>
      <c r="K2" s="127" t="s">
        <v>299</v>
      </c>
      <c r="L2" s="91" t="s">
        <v>472</v>
      </c>
      <c r="M2" s="53" t="s">
        <v>473</v>
      </c>
      <c r="N2" s="53" t="s">
        <v>61</v>
      </c>
      <c r="O2" s="53" t="s">
        <v>60</v>
      </c>
      <c r="P2" s="54" t="s">
        <v>300</v>
      </c>
      <c r="Q2" s="55" t="s">
        <v>467</v>
      </c>
      <c r="R2" s="244" t="s">
        <v>504</v>
      </c>
      <c r="S2" s="244" t="s">
        <v>505</v>
      </c>
      <c r="U2" s="498" t="s">
        <v>613</v>
      </c>
      <c r="V2" s="498" t="s">
        <v>608</v>
      </c>
      <c r="W2" s="498" t="s">
        <v>609</v>
      </c>
      <c r="X2" s="499" t="s">
        <v>610</v>
      </c>
      <c r="Y2" s="499" t="s">
        <v>611</v>
      </c>
    </row>
    <row r="3" spans="1:30" x14ac:dyDescent="0.25">
      <c r="A3" s="457" t="s">
        <v>301</v>
      </c>
      <c r="B3" s="6" t="s">
        <v>334</v>
      </c>
      <c r="C3" s="6" t="s">
        <v>241</v>
      </c>
      <c r="D3" s="36">
        <v>27</v>
      </c>
      <c r="E3" s="103">
        <v>24</v>
      </c>
      <c r="F3" s="104">
        <v>0</v>
      </c>
      <c r="G3" s="119">
        <v>1</v>
      </c>
      <c r="H3" s="103">
        <v>22</v>
      </c>
      <c r="I3" s="261">
        <v>0</v>
      </c>
      <c r="J3" s="119">
        <v>0</v>
      </c>
      <c r="K3" s="49">
        <f>(SUM(E3+H3)+((F3+I3)*0.6667)+(G3+J3)*0.3333)/2</f>
        <v>23.166650000000001</v>
      </c>
      <c r="L3" s="47">
        <f>$B$266*K3</f>
        <v>86327.531013</v>
      </c>
      <c r="M3" s="192"/>
      <c r="N3" s="7">
        <v>2496.1999999999998</v>
      </c>
      <c r="O3" s="7">
        <v>1948.8</v>
      </c>
      <c r="P3" s="7">
        <f>SUM(N3+O3)</f>
        <v>4445</v>
      </c>
      <c r="Q3" s="57"/>
      <c r="R3" s="185" t="s">
        <v>867</v>
      </c>
      <c r="S3" s="767" t="s">
        <v>867</v>
      </c>
      <c r="T3" s="182"/>
      <c r="U3" s="523"/>
      <c r="V3" s="529"/>
      <c r="W3" s="522" t="s">
        <v>1</v>
      </c>
      <c r="X3" s="521" t="s">
        <v>1</v>
      </c>
      <c r="Y3" s="524" t="s">
        <v>1</v>
      </c>
      <c r="Z3" s="182"/>
      <c r="AA3" s="182"/>
      <c r="AB3" s="182"/>
      <c r="AC3" s="182"/>
      <c r="AD3" s="182"/>
    </row>
    <row r="4" spans="1:30" ht="15" thickBot="1" x14ac:dyDescent="0.35">
      <c r="A4" s="58"/>
      <c r="B4" s="58" t="s">
        <v>54</v>
      </c>
      <c r="C4" s="58"/>
      <c r="D4" s="164"/>
      <c r="E4" s="105"/>
      <c r="F4" s="106"/>
      <c r="G4" s="120"/>
      <c r="H4" s="105"/>
      <c r="I4" s="106"/>
      <c r="J4" s="120"/>
      <c r="K4" s="51">
        <f>K3</f>
        <v>23.166650000000001</v>
      </c>
      <c r="L4" s="93"/>
      <c r="M4" s="193">
        <f>L3</f>
        <v>86327.531013</v>
      </c>
      <c r="N4" s="48"/>
      <c r="O4" s="48"/>
      <c r="P4" s="48"/>
      <c r="Q4" s="48">
        <f>P3</f>
        <v>4445</v>
      </c>
      <c r="R4" s="185"/>
      <c r="S4" s="185"/>
      <c r="T4" s="182"/>
      <c r="U4" s="877">
        <v>3531.6</v>
      </c>
      <c r="V4" s="878">
        <f>U4*2</f>
        <v>7063.2</v>
      </c>
      <c r="W4" s="879">
        <f>V4*0.75</f>
        <v>5297.4</v>
      </c>
      <c r="X4" s="880">
        <f>K4</f>
        <v>23.166650000000001</v>
      </c>
      <c r="Y4" s="881">
        <f>X4*W4</f>
        <v>122723.01</v>
      </c>
      <c r="Z4" s="182"/>
      <c r="AA4" s="182"/>
      <c r="AB4" s="182"/>
      <c r="AC4" s="182"/>
      <c r="AD4" s="182"/>
    </row>
    <row r="5" spans="1:30" x14ac:dyDescent="0.25">
      <c r="A5" s="457" t="s">
        <v>302</v>
      </c>
      <c r="B5" s="6" t="s">
        <v>501</v>
      </c>
      <c r="C5" s="6" t="s">
        <v>322</v>
      </c>
      <c r="E5" s="103"/>
      <c r="F5" s="104"/>
      <c r="G5" s="119"/>
      <c r="H5" s="103"/>
      <c r="I5" s="261"/>
      <c r="J5" s="119"/>
      <c r="K5" s="491">
        <f t="shared" ref="K5:K10" si="0">(SUM(E5+H5)+((F5+I5)*0.6667)+(G5+J5)*0.3333)/2</f>
        <v>0</v>
      </c>
      <c r="L5" s="47">
        <f t="shared" ref="L5:L10" si="1">$B$266*K5</f>
        <v>0</v>
      </c>
      <c r="M5" s="192"/>
      <c r="N5" s="133"/>
      <c r="O5" s="7"/>
      <c r="P5" s="7">
        <f t="shared" ref="P5:P10" si="2">SUM(N5+O5)</f>
        <v>0</v>
      </c>
      <c r="Q5" s="57"/>
      <c r="R5" s="185"/>
      <c r="S5" s="185"/>
      <c r="T5" s="182"/>
      <c r="U5" s="513"/>
      <c r="V5" s="530"/>
      <c r="W5" s="516" t="s">
        <v>1</v>
      </c>
      <c r="X5" s="515" t="s">
        <v>1</v>
      </c>
      <c r="Y5" s="514" t="s">
        <v>1</v>
      </c>
      <c r="Z5" s="182"/>
      <c r="AA5" s="182"/>
      <c r="AB5" s="182"/>
      <c r="AC5" s="182"/>
      <c r="AD5" s="182"/>
    </row>
    <row r="6" spans="1:30" s="247" customFormat="1" x14ac:dyDescent="0.25">
      <c r="A6" s="56"/>
      <c r="B6" s="262" t="s">
        <v>192</v>
      </c>
      <c r="C6" s="248" t="s">
        <v>253</v>
      </c>
      <c r="D6" s="252"/>
      <c r="E6" s="103"/>
      <c r="F6" s="104"/>
      <c r="G6" s="119"/>
      <c r="H6" s="103"/>
      <c r="I6" s="261"/>
      <c r="J6" s="119"/>
      <c r="K6" s="491">
        <f t="shared" si="0"/>
        <v>0</v>
      </c>
      <c r="L6" s="47">
        <f t="shared" si="1"/>
        <v>0</v>
      </c>
      <c r="M6" s="268"/>
      <c r="N6" s="133"/>
      <c r="O6" s="249"/>
      <c r="P6" s="249">
        <f>SUM(N6+O6)</f>
        <v>0</v>
      </c>
      <c r="Q6" s="255"/>
      <c r="R6" s="185"/>
      <c r="S6" s="173"/>
      <c r="T6" s="262"/>
      <c r="U6" s="508"/>
      <c r="V6" s="531"/>
      <c r="W6" s="509"/>
      <c r="X6" s="510"/>
      <c r="Y6" s="511"/>
      <c r="Z6" s="182"/>
      <c r="AA6" s="182"/>
      <c r="AB6" s="182"/>
      <c r="AC6" s="182"/>
      <c r="AD6" s="182"/>
    </row>
    <row r="7" spans="1:30" x14ac:dyDescent="0.25">
      <c r="A7" s="56" t="s">
        <v>1</v>
      </c>
      <c r="B7" s="262" t="s">
        <v>335</v>
      </c>
      <c r="C7" s="6" t="s">
        <v>322</v>
      </c>
      <c r="E7" s="103"/>
      <c r="F7" s="104"/>
      <c r="G7" s="119"/>
      <c r="H7" s="103"/>
      <c r="I7" s="261"/>
      <c r="J7" s="119"/>
      <c r="K7" s="491">
        <f t="shared" si="0"/>
        <v>0</v>
      </c>
      <c r="L7" s="47">
        <f t="shared" si="1"/>
        <v>0</v>
      </c>
      <c r="M7" s="192"/>
      <c r="N7" s="133"/>
      <c r="O7" s="7"/>
      <c r="P7" s="7">
        <f t="shared" si="2"/>
        <v>0</v>
      </c>
      <c r="Q7" s="57"/>
      <c r="R7" s="185"/>
      <c r="S7" s="185"/>
      <c r="T7" s="182"/>
      <c r="U7" s="508"/>
      <c r="V7" s="531"/>
      <c r="W7" s="509"/>
      <c r="X7" s="510"/>
      <c r="Y7" s="511"/>
      <c r="Z7" s="182"/>
      <c r="AA7" s="182"/>
      <c r="AB7" s="182"/>
      <c r="AC7" s="182"/>
      <c r="AD7" s="182"/>
    </row>
    <row r="8" spans="1:30" x14ac:dyDescent="0.25">
      <c r="A8" s="56"/>
      <c r="B8" s="75" t="s">
        <v>595</v>
      </c>
      <c r="C8" s="75" t="s">
        <v>293</v>
      </c>
      <c r="D8" s="165">
        <v>2</v>
      </c>
      <c r="E8" s="107">
        <v>3</v>
      </c>
      <c r="F8" s="108">
        <v>0</v>
      </c>
      <c r="G8" s="121">
        <v>0</v>
      </c>
      <c r="H8" s="107">
        <v>3</v>
      </c>
      <c r="I8" s="108">
        <v>0</v>
      </c>
      <c r="J8" s="121">
        <v>0</v>
      </c>
      <c r="K8" s="474">
        <f t="shared" si="0"/>
        <v>3</v>
      </c>
      <c r="L8" s="47">
        <f t="shared" si="1"/>
        <v>11179.112778000001</v>
      </c>
      <c r="M8" s="194"/>
      <c r="N8" s="7">
        <v>425</v>
      </c>
      <c r="O8" s="7">
        <v>770</v>
      </c>
      <c r="P8" s="7">
        <f t="shared" si="2"/>
        <v>1195</v>
      </c>
      <c r="Q8" s="57"/>
      <c r="R8" s="769" t="s">
        <v>867</v>
      </c>
      <c r="S8" s="769" t="s">
        <v>867</v>
      </c>
      <c r="T8" s="185"/>
      <c r="U8" s="508"/>
      <c r="V8" s="531"/>
      <c r="W8" s="509"/>
      <c r="X8" s="510"/>
      <c r="Y8" s="511"/>
      <c r="Z8" s="182"/>
      <c r="AA8" s="182"/>
      <c r="AB8" s="182"/>
      <c r="AC8" s="182"/>
      <c r="AD8" s="182"/>
    </row>
    <row r="9" spans="1:30" x14ac:dyDescent="0.25">
      <c r="A9" s="56"/>
      <c r="B9" s="6" t="s">
        <v>336</v>
      </c>
      <c r="C9" s="6" t="s">
        <v>248</v>
      </c>
      <c r="E9" s="174"/>
      <c r="F9" s="175"/>
      <c r="G9" s="176"/>
      <c r="H9" s="174"/>
      <c r="I9" s="175"/>
      <c r="J9" s="176"/>
      <c r="K9" s="491">
        <f t="shared" si="0"/>
        <v>0</v>
      </c>
      <c r="L9" s="47">
        <f t="shared" si="1"/>
        <v>0</v>
      </c>
      <c r="M9" s="192"/>
      <c r="N9" s="7"/>
      <c r="O9" s="7"/>
      <c r="P9" s="7">
        <f t="shared" si="2"/>
        <v>0</v>
      </c>
      <c r="Q9" s="57"/>
      <c r="R9" s="769"/>
      <c r="S9" s="769"/>
      <c r="T9" s="262"/>
      <c r="U9" s="508"/>
      <c r="V9" s="531"/>
      <c r="W9" s="509"/>
      <c r="X9" s="510"/>
      <c r="Y9" s="511"/>
      <c r="Z9" s="182"/>
      <c r="AA9" s="182"/>
      <c r="AB9" s="182"/>
      <c r="AC9" s="182"/>
      <c r="AD9" s="182"/>
    </row>
    <row r="10" spans="1:30" s="247" customFormat="1" x14ac:dyDescent="0.25">
      <c r="A10" s="248" t="s">
        <v>1</v>
      </c>
      <c r="B10" s="248" t="s">
        <v>21</v>
      </c>
      <c r="C10" s="248" t="s">
        <v>262</v>
      </c>
      <c r="D10" s="252"/>
      <c r="E10" s="103"/>
      <c r="F10" s="261"/>
      <c r="G10" s="119"/>
      <c r="H10" s="103"/>
      <c r="I10" s="261"/>
      <c r="J10" s="119"/>
      <c r="K10" s="491">
        <f t="shared" si="0"/>
        <v>0</v>
      </c>
      <c r="L10" s="47">
        <f t="shared" si="1"/>
        <v>0</v>
      </c>
      <c r="M10" s="268"/>
      <c r="N10" s="249"/>
      <c r="O10" s="249"/>
      <c r="P10" s="249">
        <f t="shared" si="2"/>
        <v>0</v>
      </c>
      <c r="Q10" s="255"/>
      <c r="R10" s="185"/>
      <c r="S10" s="185"/>
      <c r="T10" s="182"/>
      <c r="U10" s="508"/>
      <c r="V10" s="531"/>
      <c r="W10" s="509"/>
      <c r="X10" s="510"/>
      <c r="Y10" s="511"/>
      <c r="Z10" s="182"/>
      <c r="AA10" s="182"/>
      <c r="AB10" s="182"/>
      <c r="AC10" s="182"/>
      <c r="AD10" s="182"/>
    </row>
    <row r="11" spans="1:30" ht="13.8" thickBot="1" x14ac:dyDescent="0.3">
      <c r="A11" s="60" t="s">
        <v>1</v>
      </c>
      <c r="B11" s="60" t="s">
        <v>54</v>
      </c>
      <c r="C11" s="60"/>
      <c r="D11" s="166"/>
      <c r="E11" s="109"/>
      <c r="F11" s="110"/>
      <c r="G11" s="122"/>
      <c r="H11" s="109"/>
      <c r="I11" s="110"/>
      <c r="J11" s="122"/>
      <c r="K11" s="50">
        <f>SUM(K5:K10)</f>
        <v>3</v>
      </c>
      <c r="L11" s="93"/>
      <c r="M11" s="193">
        <f>SUM(L5:L10)</f>
        <v>11179.112778000001</v>
      </c>
      <c r="N11" s="48"/>
      <c r="O11" s="48"/>
      <c r="P11" s="48"/>
      <c r="Q11" s="253">
        <f>SUM(P5:P10)</f>
        <v>1195</v>
      </c>
      <c r="R11" s="185"/>
      <c r="S11" s="185"/>
      <c r="T11" s="182"/>
      <c r="U11" s="877">
        <v>2792.96</v>
      </c>
      <c r="V11" s="878">
        <f>U11*2</f>
        <v>5585.92</v>
      </c>
      <c r="W11" s="879">
        <f>V11*0.75</f>
        <v>4189.4399999999996</v>
      </c>
      <c r="X11" s="880">
        <f>K11</f>
        <v>3</v>
      </c>
      <c r="Y11" s="881">
        <f>X11*W11</f>
        <v>12568.32</v>
      </c>
      <c r="Z11" s="182"/>
      <c r="AA11" s="182"/>
      <c r="AB11" s="182"/>
      <c r="AC11" s="182"/>
      <c r="AD11" s="182"/>
    </row>
    <row r="12" spans="1:30" x14ac:dyDescent="0.25">
      <c r="A12" s="457" t="s">
        <v>208</v>
      </c>
      <c r="B12" s="262" t="s">
        <v>337</v>
      </c>
      <c r="C12" s="262" t="s">
        <v>249</v>
      </c>
      <c r="D12" s="265">
        <v>82</v>
      </c>
      <c r="E12" s="174">
        <v>83</v>
      </c>
      <c r="F12" s="175">
        <v>0</v>
      </c>
      <c r="G12" s="176">
        <v>0</v>
      </c>
      <c r="H12" s="103">
        <v>82</v>
      </c>
      <c r="I12" s="175">
        <v>0</v>
      </c>
      <c r="J12" s="119">
        <v>1</v>
      </c>
      <c r="K12" s="491">
        <f t="shared" ref="K12:K20" si="3">(SUM(E12+H12)+((F12+I12)*0.6667)+(G12+J12)*0.3333)/2</f>
        <v>82.666650000000004</v>
      </c>
      <c r="L12" s="47">
        <f t="shared" ref="L12:L20" si="4">$B$266*K12</f>
        <v>308046.60110999999</v>
      </c>
      <c r="M12" s="192"/>
      <c r="N12" s="7">
        <v>10516.8</v>
      </c>
      <c r="O12" s="7">
        <v>11967.6</v>
      </c>
      <c r="P12" s="7">
        <f>SUM(N12+O12)</f>
        <v>22484.400000000001</v>
      </c>
      <c r="Q12" s="57"/>
      <c r="R12" s="767" t="s">
        <v>867</v>
      </c>
      <c r="S12" s="767" t="s">
        <v>867</v>
      </c>
      <c r="T12" s="182"/>
      <c r="U12" s="525"/>
      <c r="V12" s="532"/>
      <c r="W12" s="526" t="s">
        <v>1</v>
      </c>
      <c r="X12" s="527" t="s">
        <v>1</v>
      </c>
      <c r="Y12" s="528" t="s">
        <v>1</v>
      </c>
      <c r="Z12" s="182"/>
      <c r="AA12" s="182"/>
      <c r="AB12" s="182"/>
      <c r="AC12" s="182"/>
      <c r="AD12" s="182"/>
    </row>
    <row r="13" spans="1:30" x14ac:dyDescent="0.25">
      <c r="A13" s="56"/>
      <c r="B13" s="262" t="s">
        <v>338</v>
      </c>
      <c r="C13" s="262" t="s">
        <v>250</v>
      </c>
      <c r="D13" s="265">
        <v>12</v>
      </c>
      <c r="E13" s="174">
        <v>12</v>
      </c>
      <c r="F13" s="175">
        <v>0</v>
      </c>
      <c r="G13" s="176">
        <v>0</v>
      </c>
      <c r="H13" s="103">
        <v>9</v>
      </c>
      <c r="I13" s="175">
        <v>2</v>
      </c>
      <c r="J13" s="119">
        <v>0</v>
      </c>
      <c r="K13" s="491">
        <f t="shared" si="3"/>
        <v>11.166700000000001</v>
      </c>
      <c r="L13" s="47">
        <f t="shared" si="4"/>
        <v>41611.266218999997</v>
      </c>
      <c r="M13" s="192"/>
      <c r="N13" s="7">
        <v>6069.7</v>
      </c>
      <c r="O13" s="7">
        <v>5050.8</v>
      </c>
      <c r="P13" s="7">
        <f t="shared" ref="P13:P20" si="5">SUM(N13+O13)</f>
        <v>11120.5</v>
      </c>
      <c r="Q13" s="57"/>
      <c r="R13" s="769" t="s">
        <v>867</v>
      </c>
      <c r="S13" s="767" t="s">
        <v>867</v>
      </c>
      <c r="T13" s="262"/>
      <c r="U13" s="508"/>
      <c r="V13" s="531"/>
      <c r="W13" s="509"/>
      <c r="X13" s="510"/>
      <c r="Y13" s="511"/>
      <c r="Z13" s="182"/>
      <c r="AA13" s="182"/>
      <c r="AB13" s="182"/>
      <c r="AC13" s="182"/>
      <c r="AD13" s="182"/>
    </row>
    <row r="14" spans="1:30" x14ac:dyDescent="0.25">
      <c r="A14" s="56"/>
      <c r="B14" s="262" t="s">
        <v>339</v>
      </c>
      <c r="C14" s="262" t="s">
        <v>251</v>
      </c>
      <c r="D14" s="265">
        <v>28</v>
      </c>
      <c r="E14" s="174">
        <v>28</v>
      </c>
      <c r="F14" s="175">
        <v>0</v>
      </c>
      <c r="G14" s="176">
        <v>0</v>
      </c>
      <c r="H14" s="103">
        <v>27</v>
      </c>
      <c r="I14" s="175">
        <v>0</v>
      </c>
      <c r="J14" s="119">
        <v>0</v>
      </c>
      <c r="K14" s="491">
        <f t="shared" si="3"/>
        <v>27.5</v>
      </c>
      <c r="L14" s="47">
        <f t="shared" si="4"/>
        <v>102475.200465</v>
      </c>
      <c r="M14" s="192"/>
      <c r="N14" s="7">
        <v>5075</v>
      </c>
      <c r="O14" s="7">
        <v>5667</v>
      </c>
      <c r="P14" s="7">
        <f t="shared" si="5"/>
        <v>10742</v>
      </c>
      <c r="Q14" s="57"/>
      <c r="R14" s="769" t="s">
        <v>867</v>
      </c>
      <c r="S14" s="767" t="s">
        <v>867</v>
      </c>
      <c r="T14" s="182"/>
      <c r="U14" s="508"/>
      <c r="V14" s="531"/>
      <c r="W14" s="509"/>
      <c r="X14" s="510"/>
      <c r="Y14" s="511"/>
      <c r="Z14" s="182"/>
      <c r="AA14" s="182"/>
      <c r="AB14" s="182"/>
      <c r="AC14" s="182"/>
      <c r="AD14" s="182"/>
    </row>
    <row r="15" spans="1:30" x14ac:dyDescent="0.25">
      <c r="A15" s="56"/>
      <c r="B15" s="262" t="s">
        <v>340</v>
      </c>
      <c r="C15" s="6" t="s">
        <v>252</v>
      </c>
      <c r="D15" s="36">
        <v>31</v>
      </c>
      <c r="E15" s="103">
        <v>32</v>
      </c>
      <c r="F15" s="175">
        <v>0</v>
      </c>
      <c r="G15" s="119">
        <v>0</v>
      </c>
      <c r="H15" s="103">
        <v>32</v>
      </c>
      <c r="I15" s="175">
        <v>0</v>
      </c>
      <c r="J15" s="119">
        <v>0</v>
      </c>
      <c r="K15" s="491">
        <f t="shared" si="3"/>
        <v>32</v>
      </c>
      <c r="L15" s="47">
        <f t="shared" si="4"/>
        <v>119243.869632</v>
      </c>
      <c r="M15" s="192"/>
      <c r="N15" s="7">
        <v>7096.5</v>
      </c>
      <c r="O15" s="7">
        <v>8092.5</v>
      </c>
      <c r="P15" s="7">
        <f t="shared" si="5"/>
        <v>15189</v>
      </c>
      <c r="Q15" s="57"/>
      <c r="R15" s="185" t="s">
        <v>867</v>
      </c>
      <c r="S15" s="767" t="s">
        <v>867</v>
      </c>
      <c r="T15" s="182"/>
      <c r="U15" s="508"/>
      <c r="V15" s="531"/>
      <c r="W15" s="509"/>
      <c r="X15" s="510"/>
      <c r="Y15" s="511"/>
      <c r="Z15" s="182"/>
      <c r="AA15" s="182"/>
      <c r="AB15" s="182"/>
      <c r="AC15" s="182"/>
      <c r="AD15" s="182"/>
    </row>
    <row r="16" spans="1:30" x14ac:dyDescent="0.25">
      <c r="A16" s="56"/>
      <c r="B16" s="262" t="s">
        <v>341</v>
      </c>
      <c r="C16" s="262" t="s">
        <v>253</v>
      </c>
      <c r="D16" s="265">
        <v>16</v>
      </c>
      <c r="E16" s="174">
        <v>15</v>
      </c>
      <c r="F16" s="175">
        <v>1</v>
      </c>
      <c r="G16" s="176">
        <v>0</v>
      </c>
      <c r="H16" s="103">
        <v>14</v>
      </c>
      <c r="I16" s="175">
        <v>1</v>
      </c>
      <c r="J16" s="119">
        <v>0</v>
      </c>
      <c r="K16" s="491">
        <f t="shared" si="3"/>
        <v>15.166700000000001</v>
      </c>
      <c r="L16" s="47">
        <f t="shared" si="4"/>
        <v>56516.749923000003</v>
      </c>
      <c r="M16" s="192"/>
      <c r="N16" s="7">
        <v>8888.5</v>
      </c>
      <c r="O16" s="7">
        <v>9984.7000000000007</v>
      </c>
      <c r="P16" s="7">
        <f t="shared" si="5"/>
        <v>18873.2</v>
      </c>
      <c r="Q16" s="57"/>
      <c r="R16" s="769" t="s">
        <v>867</v>
      </c>
      <c r="S16" s="185" t="s">
        <v>867</v>
      </c>
      <c r="T16" s="182"/>
      <c r="U16" s="508"/>
      <c r="V16" s="531"/>
      <c r="W16" s="509"/>
      <c r="X16" s="510"/>
      <c r="Y16" s="511"/>
      <c r="Z16" s="182"/>
      <c r="AA16" s="182"/>
      <c r="AB16" s="182"/>
      <c r="AC16" s="182"/>
      <c r="AD16" s="182"/>
    </row>
    <row r="17" spans="1:30" x14ac:dyDescent="0.25">
      <c r="A17" s="56"/>
      <c r="B17" s="262" t="s">
        <v>342</v>
      </c>
      <c r="C17" s="262" t="s">
        <v>254</v>
      </c>
      <c r="D17" s="265">
        <v>121</v>
      </c>
      <c r="E17" s="174">
        <v>109</v>
      </c>
      <c r="F17" s="175">
        <v>4</v>
      </c>
      <c r="G17" s="176">
        <v>1</v>
      </c>
      <c r="H17" s="103">
        <v>111</v>
      </c>
      <c r="I17" s="175">
        <v>1</v>
      </c>
      <c r="J17" s="119">
        <v>1</v>
      </c>
      <c r="K17" s="491">
        <f t="shared" si="3"/>
        <v>112.00005</v>
      </c>
      <c r="L17" s="47">
        <f t="shared" si="4"/>
        <v>417353.73003099998</v>
      </c>
      <c r="M17" s="192"/>
      <c r="N17" s="7">
        <v>13198.2</v>
      </c>
      <c r="O17" s="7">
        <v>15172.8</v>
      </c>
      <c r="P17" s="7">
        <f t="shared" si="5"/>
        <v>28371</v>
      </c>
      <c r="Q17" s="57"/>
      <c r="R17" s="767" t="s">
        <v>867</v>
      </c>
      <c r="S17" s="767" t="s">
        <v>867</v>
      </c>
      <c r="T17" s="185"/>
      <c r="U17" s="508"/>
      <c r="V17" s="531"/>
      <c r="W17" s="509"/>
      <c r="X17" s="510"/>
      <c r="Y17" s="511"/>
      <c r="Z17" s="182"/>
      <c r="AA17" s="182"/>
      <c r="AB17" s="182"/>
      <c r="AC17" s="182"/>
      <c r="AD17" s="182"/>
    </row>
    <row r="18" spans="1:30" s="864" customFormat="1" x14ac:dyDescent="0.25">
      <c r="A18" s="56"/>
      <c r="B18" s="262" t="s">
        <v>595</v>
      </c>
      <c r="C18" s="262" t="s">
        <v>293</v>
      </c>
      <c r="D18" s="265"/>
      <c r="E18" s="174"/>
      <c r="F18" s="175"/>
      <c r="G18" s="176"/>
      <c r="H18" s="103"/>
      <c r="I18" s="175"/>
      <c r="J18" s="119"/>
      <c r="K18" s="491">
        <f t="shared" si="3"/>
        <v>0</v>
      </c>
      <c r="L18" s="47">
        <f t="shared" si="4"/>
        <v>0</v>
      </c>
      <c r="M18" s="268"/>
      <c r="N18" s="488"/>
      <c r="O18" s="488"/>
      <c r="P18" s="488">
        <f>SUM(N18+O18)</f>
        <v>0</v>
      </c>
      <c r="Q18" s="255"/>
      <c r="R18" s="769"/>
      <c r="S18" s="769"/>
      <c r="T18" s="769"/>
      <c r="U18" s="508"/>
      <c r="V18" s="531"/>
      <c r="W18" s="509"/>
      <c r="X18" s="510"/>
      <c r="Y18" s="511"/>
      <c r="Z18" s="784"/>
      <c r="AA18" s="784"/>
      <c r="AB18" s="784"/>
      <c r="AC18" s="784"/>
      <c r="AD18" s="784"/>
    </row>
    <row r="19" spans="1:30" x14ac:dyDescent="0.25">
      <c r="A19" s="56"/>
      <c r="B19" s="262" t="s">
        <v>343</v>
      </c>
      <c r="C19" s="262" t="s">
        <v>255</v>
      </c>
      <c r="D19" s="265">
        <v>79</v>
      </c>
      <c r="E19" s="174">
        <v>77</v>
      </c>
      <c r="F19" s="175">
        <v>0</v>
      </c>
      <c r="G19" s="176">
        <v>0</v>
      </c>
      <c r="H19" s="103">
        <v>78</v>
      </c>
      <c r="I19" s="175">
        <v>1</v>
      </c>
      <c r="J19" s="119">
        <v>0</v>
      </c>
      <c r="K19" s="491">
        <f t="shared" si="3"/>
        <v>77.833349999999996</v>
      </c>
      <c r="L19" s="47">
        <f t="shared" si="4"/>
        <v>290035.93251299998</v>
      </c>
      <c r="M19" s="192"/>
      <c r="N19" s="7">
        <v>8489.4</v>
      </c>
      <c r="O19" s="7">
        <v>9546</v>
      </c>
      <c r="P19" s="7">
        <f t="shared" si="5"/>
        <v>18035.400000000001</v>
      </c>
      <c r="Q19" s="57"/>
      <c r="R19" s="767" t="s">
        <v>867</v>
      </c>
      <c r="S19" s="767" t="s">
        <v>867</v>
      </c>
      <c r="T19" s="262"/>
      <c r="U19" s="508"/>
      <c r="V19" s="531"/>
      <c r="W19" s="509"/>
      <c r="X19" s="510"/>
      <c r="Y19" s="511"/>
      <c r="Z19" s="182"/>
      <c r="AA19" s="182"/>
      <c r="AB19" s="182"/>
      <c r="AC19" s="182"/>
      <c r="AD19" s="182"/>
    </row>
    <row r="20" spans="1:30" x14ac:dyDescent="0.25">
      <c r="A20" s="56"/>
      <c r="B20" s="262" t="s">
        <v>344</v>
      </c>
      <c r="C20" s="262" t="s">
        <v>256</v>
      </c>
      <c r="D20" s="265">
        <v>14</v>
      </c>
      <c r="E20" s="174">
        <v>16</v>
      </c>
      <c r="F20" s="175">
        <v>0</v>
      </c>
      <c r="G20" s="176">
        <v>0</v>
      </c>
      <c r="H20" s="103">
        <v>15</v>
      </c>
      <c r="I20" s="175">
        <v>0</v>
      </c>
      <c r="J20" s="119">
        <v>1</v>
      </c>
      <c r="K20" s="491">
        <f t="shared" si="3"/>
        <v>15.666650000000001</v>
      </c>
      <c r="L20" s="47">
        <f t="shared" si="4"/>
        <v>58379.749067999997</v>
      </c>
      <c r="M20" s="192"/>
      <c r="N20" s="133">
        <v>3802.5</v>
      </c>
      <c r="O20" s="7">
        <v>4215</v>
      </c>
      <c r="P20" s="7">
        <f t="shared" si="5"/>
        <v>8017.5</v>
      </c>
      <c r="Q20" s="57"/>
      <c r="R20" s="185" t="s">
        <v>867</v>
      </c>
      <c r="S20" s="769" t="s">
        <v>867</v>
      </c>
      <c r="T20" s="182"/>
      <c r="U20" s="508"/>
      <c r="V20" s="531"/>
      <c r="W20" s="509"/>
      <c r="X20" s="510"/>
      <c r="Y20" s="511"/>
      <c r="Z20" s="182"/>
      <c r="AA20" s="182"/>
      <c r="AB20" s="182"/>
      <c r="AC20" s="182"/>
      <c r="AD20" s="182"/>
    </row>
    <row r="21" spans="1:30" ht="13.8" thickBot="1" x14ac:dyDescent="0.3">
      <c r="A21" s="60"/>
      <c r="B21" s="60" t="s">
        <v>54</v>
      </c>
      <c r="C21" s="60"/>
      <c r="D21" s="166"/>
      <c r="E21" s="109"/>
      <c r="F21" s="110"/>
      <c r="G21" s="122"/>
      <c r="H21" s="109"/>
      <c r="I21" s="110"/>
      <c r="J21" s="122"/>
      <c r="K21" s="50">
        <f>SUM(K12:K20)</f>
        <v>374.00009999999997</v>
      </c>
      <c r="L21" s="93"/>
      <c r="M21" s="193">
        <f>SUM(L12:L20)</f>
        <v>1393663.0989610001</v>
      </c>
      <c r="N21" s="48"/>
      <c r="O21" s="48"/>
      <c r="P21" s="48"/>
      <c r="Q21" s="48">
        <f>SUM(P12:P20)</f>
        <v>132833</v>
      </c>
      <c r="R21" s="185"/>
      <c r="S21" s="185"/>
      <c r="T21" s="182"/>
      <c r="U21" s="877">
        <v>3065.84</v>
      </c>
      <c r="V21" s="878">
        <f>U21*2</f>
        <v>6131.68</v>
      </c>
      <c r="W21" s="879">
        <f>V21*0.75</f>
        <v>4598.76</v>
      </c>
      <c r="X21" s="880">
        <f>K21</f>
        <v>374.00009999999997</v>
      </c>
      <c r="Y21" s="881">
        <f>X21*W21</f>
        <v>1719936.7</v>
      </c>
      <c r="Z21" s="182"/>
      <c r="AA21" s="182"/>
      <c r="AB21" s="182"/>
      <c r="AC21" s="182"/>
      <c r="AD21" s="182"/>
    </row>
    <row r="22" spans="1:30" x14ac:dyDescent="0.25">
      <c r="A22" s="457" t="s">
        <v>597</v>
      </c>
      <c r="B22" s="59" t="s">
        <v>332</v>
      </c>
      <c r="C22" s="75" t="s">
        <v>280</v>
      </c>
      <c r="D22" s="165">
        <v>16</v>
      </c>
      <c r="E22" s="107">
        <v>14</v>
      </c>
      <c r="F22" s="108">
        <v>0</v>
      </c>
      <c r="G22" s="121">
        <v>0</v>
      </c>
      <c r="H22" s="107">
        <v>6</v>
      </c>
      <c r="I22" s="108">
        <v>0</v>
      </c>
      <c r="J22" s="121">
        <v>0</v>
      </c>
      <c r="K22" s="474">
        <f>(SUM(E22+H22)+((F22+I22)*0.6667)+(G22+J22)*0.3333)/2</f>
        <v>10</v>
      </c>
      <c r="L22" s="47">
        <f>$B$266*K22</f>
        <v>37263.709260000003</v>
      </c>
      <c r="M22" s="192"/>
      <c r="N22" s="7">
        <v>950</v>
      </c>
      <c r="O22" s="7">
        <v>180</v>
      </c>
      <c r="P22" s="7">
        <f>SUM(N22+O22)</f>
        <v>1130</v>
      </c>
      <c r="Q22" s="57"/>
      <c r="R22" s="767" t="s">
        <v>867</v>
      </c>
      <c r="S22" s="769" t="s">
        <v>867</v>
      </c>
      <c r="T22" s="182"/>
      <c r="U22" s="525"/>
      <c r="V22" s="532"/>
      <c r="W22" s="526" t="s">
        <v>1</v>
      </c>
      <c r="X22" s="527" t="s">
        <v>1</v>
      </c>
      <c r="Y22" s="528" t="s">
        <v>1</v>
      </c>
      <c r="Z22" s="182"/>
      <c r="AA22" s="182"/>
      <c r="AB22" s="182"/>
      <c r="AC22" s="182"/>
      <c r="AD22" s="182"/>
    </row>
    <row r="23" spans="1:30" s="864" customFormat="1" x14ac:dyDescent="0.25">
      <c r="A23" s="457" t="s">
        <v>1</v>
      </c>
      <c r="B23" s="59" t="s">
        <v>421</v>
      </c>
      <c r="C23" s="75" t="s">
        <v>246</v>
      </c>
      <c r="D23" s="264"/>
      <c r="E23" s="107">
        <v>0</v>
      </c>
      <c r="F23" s="108">
        <v>0</v>
      </c>
      <c r="G23" s="121">
        <v>0</v>
      </c>
      <c r="H23" s="107">
        <v>4</v>
      </c>
      <c r="I23" s="108">
        <v>1</v>
      </c>
      <c r="J23" s="121">
        <v>0</v>
      </c>
      <c r="K23" s="474">
        <f>(SUM(E23+H23)+((F23+I23)*0.6667)+(G23+J23)*0.3333)/2</f>
        <v>2.3333499999999998</v>
      </c>
      <c r="L23" s="47">
        <f>$B$266*K23</f>
        <v>8694.9276000000009</v>
      </c>
      <c r="M23" s="268"/>
      <c r="N23" s="488">
        <v>0</v>
      </c>
      <c r="O23" s="488">
        <v>0</v>
      </c>
      <c r="P23" s="488">
        <f>SUM(N23+O23)</f>
        <v>0</v>
      </c>
      <c r="Q23" s="255"/>
      <c r="R23" s="767" t="s">
        <v>818</v>
      </c>
      <c r="S23" s="769" t="s">
        <v>818</v>
      </c>
      <c r="T23" s="784"/>
      <c r="U23" s="513"/>
      <c r="V23" s="530"/>
      <c r="W23" s="516"/>
      <c r="X23" s="515"/>
      <c r="Y23" s="514"/>
      <c r="Z23" s="784"/>
      <c r="AA23" s="784"/>
      <c r="AB23" s="784"/>
      <c r="AC23" s="784"/>
      <c r="AD23" s="784"/>
    </row>
    <row r="24" spans="1:30" s="247" customFormat="1" x14ac:dyDescent="0.25">
      <c r="A24" s="56"/>
      <c r="B24" s="59" t="s">
        <v>161</v>
      </c>
      <c r="C24" s="75" t="s">
        <v>211</v>
      </c>
      <c r="D24" s="264">
        <v>4</v>
      </c>
      <c r="E24" s="107">
        <v>4</v>
      </c>
      <c r="F24" s="108">
        <v>0</v>
      </c>
      <c r="G24" s="121">
        <v>0</v>
      </c>
      <c r="H24" s="107">
        <v>3</v>
      </c>
      <c r="I24" s="108">
        <v>0</v>
      </c>
      <c r="J24" s="121">
        <v>0</v>
      </c>
      <c r="K24" s="474">
        <f t="shared" ref="K24:K25" si="6">(SUM(E24+H24)+((F24+I24)*0.6667)+(G24+J24)*0.3333)/2</f>
        <v>3.5</v>
      </c>
      <c r="L24" s="47">
        <f>$B$266*K24</f>
        <v>13042.298241</v>
      </c>
      <c r="M24" s="268"/>
      <c r="N24" s="249">
        <v>730.5</v>
      </c>
      <c r="O24" s="249">
        <v>747</v>
      </c>
      <c r="P24" s="249">
        <f>SUM(N24+O24)</f>
        <v>1477.5</v>
      </c>
      <c r="Q24" s="255"/>
      <c r="R24" s="767" t="s">
        <v>867</v>
      </c>
      <c r="S24" s="767" t="s">
        <v>867</v>
      </c>
      <c r="T24" s="182"/>
      <c r="U24" s="508"/>
      <c r="V24" s="531"/>
      <c r="W24" s="509"/>
      <c r="X24" s="510"/>
      <c r="Y24" s="511"/>
      <c r="Z24" s="182"/>
      <c r="AA24" s="182"/>
      <c r="AB24" s="182"/>
      <c r="AC24" s="182"/>
      <c r="AD24" s="182"/>
    </row>
    <row r="25" spans="1:30" s="247" customFormat="1" x14ac:dyDescent="0.25">
      <c r="A25" s="457"/>
      <c r="B25" s="59" t="s">
        <v>31</v>
      </c>
      <c r="C25" s="75" t="s">
        <v>279</v>
      </c>
      <c r="D25" s="264"/>
      <c r="E25" s="107"/>
      <c r="F25" s="108"/>
      <c r="G25" s="121"/>
      <c r="H25" s="107"/>
      <c r="I25" s="108"/>
      <c r="J25" s="121"/>
      <c r="K25" s="474">
        <f t="shared" si="6"/>
        <v>0</v>
      </c>
      <c r="L25" s="47">
        <f>$B$266*K25</f>
        <v>0</v>
      </c>
      <c r="M25" s="268"/>
      <c r="N25" s="249"/>
      <c r="O25" s="249"/>
      <c r="P25" s="249">
        <f>SUM(N25+O25)</f>
        <v>0</v>
      </c>
      <c r="Q25" s="255"/>
      <c r="R25" s="769"/>
      <c r="S25" s="767"/>
      <c r="T25" s="182"/>
      <c r="U25" s="508"/>
      <c r="V25" s="531"/>
      <c r="W25" s="509"/>
      <c r="X25" s="510"/>
      <c r="Y25" s="512"/>
      <c r="Z25" s="182"/>
      <c r="AA25" s="182"/>
      <c r="AB25" s="182"/>
      <c r="AC25" s="182"/>
      <c r="AD25" s="182"/>
    </row>
    <row r="26" spans="1:30" s="247" customFormat="1" x14ac:dyDescent="0.25">
      <c r="A26" s="457"/>
      <c r="B26" s="457" t="s">
        <v>390</v>
      </c>
      <c r="C26" s="262" t="s">
        <v>290</v>
      </c>
      <c r="D26" s="265"/>
      <c r="E26" s="174"/>
      <c r="F26" s="175"/>
      <c r="G26" s="176"/>
      <c r="H26" s="174"/>
      <c r="I26" s="175"/>
      <c r="J26" s="176"/>
      <c r="K26" s="491">
        <f>(SUM(E26+H26)+((F26+I26)*0.6667)+(G26+J26)*0.3333)/2</f>
        <v>0</v>
      </c>
      <c r="L26" s="47">
        <f>$B$266*K26</f>
        <v>0</v>
      </c>
      <c r="M26" s="268"/>
      <c r="N26" s="249"/>
      <c r="O26" s="249"/>
      <c r="P26" s="249">
        <f>SUM(N26+O26)</f>
        <v>0</v>
      </c>
      <c r="Q26" s="255"/>
      <c r="R26" s="173"/>
      <c r="S26" s="767"/>
      <c r="T26" s="182"/>
      <c r="U26" s="513"/>
      <c r="V26" s="530"/>
      <c r="W26" s="516" t="s">
        <v>1</v>
      </c>
      <c r="X26" s="515" t="s">
        <v>1</v>
      </c>
      <c r="Y26" s="514" t="s">
        <v>1</v>
      </c>
      <c r="Z26" s="182"/>
      <c r="AA26" s="182"/>
      <c r="AB26" s="182"/>
      <c r="AC26" s="182"/>
      <c r="AD26" s="182"/>
    </row>
    <row r="27" spans="1:30" ht="13.8" thickBot="1" x14ac:dyDescent="0.3">
      <c r="A27" s="60" t="s">
        <v>1</v>
      </c>
      <c r="B27" s="60" t="s">
        <v>54</v>
      </c>
      <c r="C27" s="60"/>
      <c r="D27" s="166"/>
      <c r="E27" s="109"/>
      <c r="F27" s="110"/>
      <c r="G27" s="122"/>
      <c r="H27" s="109"/>
      <c r="I27" s="110"/>
      <c r="J27" s="122"/>
      <c r="K27" s="50">
        <f>SUM(K22:K26)</f>
        <v>15.833349999999999</v>
      </c>
      <c r="L27" s="93"/>
      <c r="M27" s="193">
        <f>SUM(L22:L26)</f>
        <v>59000.935101000003</v>
      </c>
      <c r="N27" s="48"/>
      <c r="O27" s="48"/>
      <c r="P27" s="48"/>
      <c r="Q27" s="48">
        <f>SUM(P22:P26)</f>
        <v>2607.5</v>
      </c>
      <c r="R27" s="185"/>
      <c r="S27" s="185"/>
      <c r="T27" s="182"/>
      <c r="U27" s="877">
        <v>1903.75</v>
      </c>
      <c r="V27" s="878">
        <f>U27*2</f>
        <v>3807.5</v>
      </c>
      <c r="W27" s="879">
        <f>V27*0.75</f>
        <v>2855.63</v>
      </c>
      <c r="X27" s="880">
        <f>K27</f>
        <v>15.833349999999999</v>
      </c>
      <c r="Y27" s="881">
        <f>X27*W27</f>
        <v>45214.19</v>
      </c>
      <c r="Z27" s="182"/>
      <c r="AA27" s="182"/>
      <c r="AB27" s="182"/>
      <c r="AC27" s="182"/>
      <c r="AD27" s="182"/>
    </row>
    <row r="28" spans="1:30" s="864" customFormat="1" x14ac:dyDescent="0.25">
      <c r="A28" s="457" t="s">
        <v>303</v>
      </c>
      <c r="B28" s="866" t="s">
        <v>602</v>
      </c>
      <c r="C28" s="866" t="s">
        <v>832</v>
      </c>
      <c r="D28" s="490">
        <v>1</v>
      </c>
      <c r="E28" s="174">
        <v>1</v>
      </c>
      <c r="F28" s="476">
        <v>0</v>
      </c>
      <c r="G28" s="176">
        <v>0</v>
      </c>
      <c r="H28" s="103">
        <v>1</v>
      </c>
      <c r="I28" s="175">
        <v>0</v>
      </c>
      <c r="J28" s="119">
        <v>0</v>
      </c>
      <c r="K28" s="491">
        <f>(SUM(E28+H28)+((F28+I28)*0.6667)+(G28+J28)*0.3333)/2</f>
        <v>1</v>
      </c>
      <c r="L28" s="47">
        <f t="shared" ref="L28:L38" si="7">$B$266*K28</f>
        <v>3726.3709260000001</v>
      </c>
      <c r="M28" s="268"/>
      <c r="N28" s="782">
        <v>144</v>
      </c>
      <c r="O28" s="782">
        <v>496</v>
      </c>
      <c r="P28" s="488">
        <f t="shared" ref="P28" si="8">SUM(N28+O28)</f>
        <v>640</v>
      </c>
      <c r="Q28" s="255"/>
      <c r="R28" s="767" t="s">
        <v>867</v>
      </c>
      <c r="S28" s="767" t="s">
        <v>867</v>
      </c>
      <c r="T28" s="785" t="s">
        <v>1</v>
      </c>
      <c r="U28" s="508"/>
      <c r="V28" s="531"/>
      <c r="W28" s="509"/>
      <c r="X28" s="510"/>
      <c r="Y28" s="511"/>
      <c r="Z28" s="784"/>
      <c r="AA28" s="784"/>
      <c r="AB28" s="784"/>
      <c r="AC28" s="784"/>
      <c r="AD28" s="784"/>
    </row>
    <row r="29" spans="1:30" x14ac:dyDescent="0.25">
      <c r="A29" s="457" t="s">
        <v>1</v>
      </c>
      <c r="B29" s="6" t="s">
        <v>17</v>
      </c>
      <c r="C29" s="6" t="s">
        <v>261</v>
      </c>
      <c r="D29" s="36">
        <v>1</v>
      </c>
      <c r="E29" s="174">
        <v>1</v>
      </c>
      <c r="F29" s="476">
        <v>0</v>
      </c>
      <c r="G29" s="176">
        <v>0</v>
      </c>
      <c r="H29" s="103">
        <v>1</v>
      </c>
      <c r="I29" s="175">
        <v>0</v>
      </c>
      <c r="J29" s="119">
        <v>0</v>
      </c>
      <c r="K29" s="491">
        <f>(SUM(E29+H29)+((F29+I29)*0.6667)+(G29+J29)*0.3333)/2</f>
        <v>1</v>
      </c>
      <c r="L29" s="47">
        <f t="shared" si="7"/>
        <v>3726.3709260000001</v>
      </c>
      <c r="M29" s="192"/>
      <c r="N29" s="782">
        <v>142.5</v>
      </c>
      <c r="O29" s="782">
        <v>199.5</v>
      </c>
      <c r="P29" s="7">
        <f t="shared" ref="P29:P36" si="9">SUM(N29+O29)</f>
        <v>342</v>
      </c>
      <c r="Q29" s="57"/>
      <c r="R29" s="767" t="s">
        <v>867</v>
      </c>
      <c r="S29" s="767" t="s">
        <v>867</v>
      </c>
      <c r="T29" s="785" t="s">
        <v>1</v>
      </c>
      <c r="U29" s="508"/>
      <c r="V29" s="531"/>
      <c r="W29" s="509"/>
      <c r="X29" s="510"/>
      <c r="Y29" s="511"/>
      <c r="Z29" s="1020" t="s">
        <v>830</v>
      </c>
      <c r="AA29" s="1021"/>
      <c r="AB29" s="1021"/>
      <c r="AC29" s="1021"/>
      <c r="AD29" s="182"/>
    </row>
    <row r="30" spans="1:30" s="864" customFormat="1" x14ac:dyDescent="0.25">
      <c r="A30" s="457" t="s">
        <v>1</v>
      </c>
      <c r="B30" s="866" t="s">
        <v>347</v>
      </c>
      <c r="C30" s="866" t="s">
        <v>261</v>
      </c>
      <c r="D30" s="490"/>
      <c r="E30" s="174">
        <v>16</v>
      </c>
      <c r="F30" s="476">
        <v>0</v>
      </c>
      <c r="G30" s="176">
        <v>0</v>
      </c>
      <c r="H30" s="103">
        <v>16</v>
      </c>
      <c r="I30" s="175">
        <v>0</v>
      </c>
      <c r="J30" s="119">
        <v>0</v>
      </c>
      <c r="K30" s="491">
        <f>(SUM(E30+H30)+((F30+I30)*0.6667)+(G30+J30)*0.3333)/2</f>
        <v>16</v>
      </c>
      <c r="L30" s="47">
        <f t="shared" si="7"/>
        <v>59621.934816000001</v>
      </c>
      <c r="M30" s="268"/>
      <c r="N30" s="488">
        <v>1704.3</v>
      </c>
      <c r="O30" s="488">
        <v>5890</v>
      </c>
      <c r="P30" s="488">
        <f t="shared" ref="P30" si="10">SUM(N30+O30)</f>
        <v>7594.3</v>
      </c>
      <c r="Q30" s="255"/>
      <c r="R30" s="769" t="s">
        <v>867</v>
      </c>
      <c r="S30" s="769" t="s">
        <v>867</v>
      </c>
      <c r="T30" s="784"/>
      <c r="U30" s="508"/>
      <c r="V30" s="531"/>
      <c r="W30" s="509"/>
      <c r="X30" s="510"/>
      <c r="Y30" s="511"/>
      <c r="Z30" s="1020"/>
      <c r="AA30" s="1021"/>
      <c r="AB30" s="1021"/>
      <c r="AC30" s="1021"/>
      <c r="AD30" s="784"/>
    </row>
    <row r="31" spans="1:30" s="247" customFormat="1" x14ac:dyDescent="0.25">
      <c r="A31" s="457"/>
      <c r="B31" s="457" t="s">
        <v>360</v>
      </c>
      <c r="C31" s="262" t="s">
        <v>266</v>
      </c>
      <c r="D31" s="252"/>
      <c r="E31" s="174"/>
      <c r="F31" s="476"/>
      <c r="G31" s="176"/>
      <c r="H31" s="103"/>
      <c r="I31" s="175"/>
      <c r="J31" s="119"/>
      <c r="K31" s="491">
        <f t="shared" ref="K31:K36" si="11">(SUM(E31+H31)+((F31+I31)*0.6667)+(G31+J31)*0.3333)/2</f>
        <v>0</v>
      </c>
      <c r="L31" s="47">
        <f t="shared" si="7"/>
        <v>0</v>
      </c>
      <c r="M31" s="268"/>
      <c r="N31" s="249"/>
      <c r="O31" s="249"/>
      <c r="P31" s="249">
        <f>SUM(N31+O31)</f>
        <v>0</v>
      </c>
      <c r="Q31" s="255"/>
      <c r="R31" s="769"/>
      <c r="S31" s="185"/>
      <c r="T31" s="182"/>
      <c r="U31" s="508"/>
      <c r="V31" s="531"/>
      <c r="W31" s="509"/>
      <c r="X31" s="510"/>
      <c r="Y31" s="511"/>
      <c r="Z31" s="1022"/>
      <c r="AA31" s="1021"/>
      <c r="AB31" s="1021"/>
      <c r="AC31" s="1021"/>
      <c r="AD31" s="182"/>
    </row>
    <row r="32" spans="1:30" x14ac:dyDescent="0.25">
      <c r="A32" s="56"/>
      <c r="B32" s="6" t="s">
        <v>348</v>
      </c>
      <c r="C32" s="6" t="s">
        <v>345</v>
      </c>
      <c r="E32" s="103">
        <v>52</v>
      </c>
      <c r="F32" s="175">
        <v>1</v>
      </c>
      <c r="G32" s="119">
        <v>0</v>
      </c>
      <c r="H32" s="103">
        <v>45</v>
      </c>
      <c r="I32" s="175">
        <v>0</v>
      </c>
      <c r="J32" s="119">
        <v>1</v>
      </c>
      <c r="K32" s="491">
        <f t="shared" si="11"/>
        <v>49</v>
      </c>
      <c r="L32" s="47">
        <f t="shared" si="7"/>
        <v>182592.17537400001</v>
      </c>
      <c r="M32" s="192"/>
      <c r="N32" s="7">
        <v>291.60000000000002</v>
      </c>
      <c r="O32" s="7">
        <v>744</v>
      </c>
      <c r="P32" s="488">
        <f t="shared" si="9"/>
        <v>1035.5999999999999</v>
      </c>
      <c r="Q32" s="57"/>
      <c r="R32" s="185" t="s">
        <v>867</v>
      </c>
      <c r="S32" s="769" t="s">
        <v>867</v>
      </c>
      <c r="T32" s="182"/>
      <c r="U32" s="508"/>
      <c r="V32" s="531"/>
      <c r="W32" s="509"/>
      <c r="X32" s="510"/>
      <c r="Y32" s="511"/>
      <c r="Z32" s="1022"/>
      <c r="AA32" s="1021"/>
      <c r="AB32" s="1021"/>
      <c r="AC32" s="1021"/>
      <c r="AD32" s="182"/>
    </row>
    <row r="33" spans="1:30" s="864" customFormat="1" x14ac:dyDescent="0.25">
      <c r="A33" s="56"/>
      <c r="B33" s="866" t="s">
        <v>357</v>
      </c>
      <c r="C33" s="866" t="s">
        <v>268</v>
      </c>
      <c r="D33" s="490"/>
      <c r="E33" s="103">
        <v>1</v>
      </c>
      <c r="F33" s="175">
        <v>0</v>
      </c>
      <c r="G33" s="119">
        <v>0</v>
      </c>
      <c r="H33" s="103">
        <v>1</v>
      </c>
      <c r="I33" s="175">
        <v>0</v>
      </c>
      <c r="J33" s="119">
        <v>0</v>
      </c>
      <c r="K33" s="491">
        <f t="shared" si="11"/>
        <v>1</v>
      </c>
      <c r="L33" s="47">
        <f t="shared" si="7"/>
        <v>3726.3709260000001</v>
      </c>
      <c r="M33" s="268"/>
      <c r="N33" s="488">
        <v>207</v>
      </c>
      <c r="O33" s="488">
        <v>540.5</v>
      </c>
      <c r="P33" s="488">
        <f t="shared" si="9"/>
        <v>747.5</v>
      </c>
      <c r="Q33" s="255"/>
      <c r="R33" s="769" t="s">
        <v>867</v>
      </c>
      <c r="S33" s="769" t="s">
        <v>867</v>
      </c>
      <c r="T33" s="784"/>
      <c r="U33" s="508"/>
      <c r="V33" s="531"/>
      <c r="W33" s="509"/>
      <c r="X33" s="510"/>
      <c r="Y33" s="511"/>
      <c r="Z33" s="1022"/>
      <c r="AA33" s="1021"/>
      <c r="AB33" s="1021"/>
      <c r="AC33" s="1021"/>
      <c r="AD33" s="784"/>
    </row>
    <row r="34" spans="1:30" x14ac:dyDescent="0.25">
      <c r="A34" s="56"/>
      <c r="B34" s="75" t="s">
        <v>350</v>
      </c>
      <c r="C34" s="75" t="s">
        <v>263</v>
      </c>
      <c r="D34" s="165">
        <v>44</v>
      </c>
      <c r="E34" s="107">
        <v>39</v>
      </c>
      <c r="F34" s="108">
        <v>3</v>
      </c>
      <c r="G34" s="121">
        <v>4</v>
      </c>
      <c r="H34" s="107">
        <v>34</v>
      </c>
      <c r="I34" s="108">
        <v>0</v>
      </c>
      <c r="J34" s="121">
        <v>1</v>
      </c>
      <c r="K34" s="474">
        <f t="shared" si="11"/>
        <v>38.333300000000001</v>
      </c>
      <c r="L34" s="47">
        <f t="shared" si="7"/>
        <v>142844.094618</v>
      </c>
      <c r="M34" s="192"/>
      <c r="N34" s="7">
        <v>1051.2</v>
      </c>
      <c r="O34" s="7">
        <v>2640</v>
      </c>
      <c r="P34" s="7">
        <f t="shared" si="9"/>
        <v>3691.2</v>
      </c>
      <c r="Q34" s="57"/>
      <c r="R34" s="767" t="s">
        <v>867</v>
      </c>
      <c r="S34" s="185" t="s">
        <v>877</v>
      </c>
      <c r="T34" s="182"/>
      <c r="U34" s="508"/>
      <c r="V34" s="531"/>
      <c r="W34" s="509"/>
      <c r="X34" s="510"/>
      <c r="Y34" s="512"/>
      <c r="Z34" s="1022"/>
      <c r="AA34" s="1021"/>
      <c r="AB34" s="1021"/>
      <c r="AC34" s="1021"/>
      <c r="AD34" s="182"/>
    </row>
    <row r="35" spans="1:30" s="864" customFormat="1" x14ac:dyDescent="0.25">
      <c r="A35" s="56"/>
      <c r="B35" s="75" t="s">
        <v>487</v>
      </c>
      <c r="C35" s="75" t="s">
        <v>346</v>
      </c>
      <c r="D35" s="264"/>
      <c r="E35" s="107">
        <v>0</v>
      </c>
      <c r="F35" s="108">
        <v>0</v>
      </c>
      <c r="G35" s="121">
        <v>0</v>
      </c>
      <c r="H35" s="107">
        <v>1</v>
      </c>
      <c r="I35" s="108">
        <v>0</v>
      </c>
      <c r="J35" s="121">
        <v>0</v>
      </c>
      <c r="K35" s="474">
        <f t="shared" ref="K35" si="12">(SUM(E35+H35)+((F35+I35)*0.6667)+(G35+J35)*0.3333)/2</f>
        <v>0.5</v>
      </c>
      <c r="L35" s="47">
        <f t="shared" si="7"/>
        <v>1863.185463</v>
      </c>
      <c r="M35" s="268"/>
      <c r="N35" s="488">
        <v>0</v>
      </c>
      <c r="O35" s="488">
        <v>258</v>
      </c>
      <c r="P35" s="488">
        <f t="shared" ref="P35" si="13">SUM(N35+O35)</f>
        <v>258</v>
      </c>
      <c r="Q35" s="255"/>
      <c r="R35" s="767" t="s">
        <v>818</v>
      </c>
      <c r="S35" s="769" t="s">
        <v>867</v>
      </c>
      <c r="T35" s="784"/>
      <c r="U35" s="508"/>
      <c r="V35" s="531"/>
      <c r="W35" s="509"/>
      <c r="X35" s="510"/>
      <c r="Y35" s="512"/>
      <c r="Z35" s="1022"/>
      <c r="AA35" s="1021"/>
      <c r="AB35" s="1021"/>
      <c r="AC35" s="1021"/>
      <c r="AD35" s="784"/>
    </row>
    <row r="36" spans="1:30" x14ac:dyDescent="0.25">
      <c r="A36" s="56"/>
      <c r="B36" s="75" t="s">
        <v>351</v>
      </c>
      <c r="C36" s="75" t="s">
        <v>295</v>
      </c>
      <c r="D36" s="165">
        <v>24</v>
      </c>
      <c r="E36" s="107">
        <v>19</v>
      </c>
      <c r="F36" s="108">
        <v>2</v>
      </c>
      <c r="G36" s="121">
        <v>0</v>
      </c>
      <c r="H36" s="107">
        <v>21</v>
      </c>
      <c r="I36" s="108">
        <v>0</v>
      </c>
      <c r="J36" s="121">
        <v>0</v>
      </c>
      <c r="K36" s="474">
        <f t="shared" si="11"/>
        <v>20.666699999999999</v>
      </c>
      <c r="L36" s="47">
        <f t="shared" si="7"/>
        <v>77011.790015999999</v>
      </c>
      <c r="M36" s="192"/>
      <c r="N36" s="133">
        <v>350</v>
      </c>
      <c r="O36" s="133">
        <v>1236.2</v>
      </c>
      <c r="P36" s="7">
        <f t="shared" si="9"/>
        <v>1586.2</v>
      </c>
      <c r="Q36" s="57"/>
      <c r="R36" s="769" t="s">
        <v>867</v>
      </c>
      <c r="S36" s="769" t="s">
        <v>867</v>
      </c>
      <c r="T36" s="262"/>
      <c r="U36" s="513"/>
      <c r="V36" s="530"/>
      <c r="W36" s="516" t="s">
        <v>1</v>
      </c>
      <c r="X36" s="515" t="s">
        <v>1</v>
      </c>
      <c r="Y36" s="514" t="s">
        <v>1</v>
      </c>
      <c r="Z36" s="1022"/>
      <c r="AA36" s="1021"/>
      <c r="AB36" s="1021"/>
      <c r="AC36" s="1021"/>
      <c r="AD36" s="182"/>
    </row>
    <row r="37" spans="1:30" s="864" customFormat="1" x14ac:dyDescent="0.25">
      <c r="A37" s="457" t="s">
        <v>1</v>
      </c>
      <c r="B37" s="262" t="s">
        <v>869</v>
      </c>
      <c r="C37" s="262"/>
      <c r="D37" s="490"/>
      <c r="E37" s="103">
        <v>1</v>
      </c>
      <c r="F37" s="175">
        <v>0</v>
      </c>
      <c r="G37" s="119">
        <v>0</v>
      </c>
      <c r="H37" s="103">
        <v>1</v>
      </c>
      <c r="I37" s="261">
        <v>0</v>
      </c>
      <c r="J37" s="119">
        <v>0</v>
      </c>
      <c r="K37" s="491">
        <f>(SUM(E37+H37)+((F37+I37)*0.6667)+(G37+J37)*0.3333)/2</f>
        <v>1</v>
      </c>
      <c r="L37" s="47">
        <f t="shared" si="7"/>
        <v>3726.3709260000001</v>
      </c>
      <c r="M37" s="268"/>
      <c r="N37" s="488">
        <v>142.5</v>
      </c>
      <c r="O37" s="782">
        <v>427.5</v>
      </c>
      <c r="P37" s="488">
        <f>SUM(N37+O37)</f>
        <v>570</v>
      </c>
      <c r="Q37" s="255"/>
      <c r="R37" s="769" t="s">
        <v>867</v>
      </c>
      <c r="S37" s="769" t="s">
        <v>867</v>
      </c>
      <c r="T37" s="784"/>
      <c r="U37" s="513"/>
      <c r="V37" s="530"/>
      <c r="W37" s="516"/>
      <c r="X37" s="515"/>
      <c r="Y37" s="514"/>
      <c r="Z37" s="1022"/>
      <c r="AA37" s="1021"/>
      <c r="AB37" s="1021"/>
      <c r="AC37" s="1021"/>
      <c r="AD37" s="784"/>
    </row>
    <row r="38" spans="1:30" x14ac:dyDescent="0.25">
      <c r="A38" s="457" t="s">
        <v>1</v>
      </c>
      <c r="B38" s="6" t="s">
        <v>352</v>
      </c>
      <c r="C38" s="6" t="s">
        <v>262</v>
      </c>
      <c r="E38" s="103"/>
      <c r="F38" s="128"/>
      <c r="G38" s="119"/>
      <c r="H38" s="103"/>
      <c r="I38" s="261"/>
      <c r="J38" s="119"/>
      <c r="K38" s="491">
        <f>(SUM(E38+H38)+((F38+I38)*0.6667)+(G38+J38)*0.3333)/2</f>
        <v>0</v>
      </c>
      <c r="L38" s="47">
        <f t="shared" si="7"/>
        <v>0</v>
      </c>
      <c r="M38" s="192"/>
      <c r="N38" s="7"/>
      <c r="O38" s="133"/>
      <c r="P38" s="7">
        <f>SUM(N38+O38)</f>
        <v>0</v>
      </c>
      <c r="Q38" s="57"/>
      <c r="R38" s="185"/>
      <c r="S38" s="185"/>
      <c r="T38" s="182"/>
      <c r="U38" s="513"/>
      <c r="V38" s="531"/>
      <c r="W38" s="509"/>
      <c r="X38" s="510"/>
      <c r="Y38" s="511"/>
      <c r="Z38" s="1022"/>
      <c r="AA38" s="1021"/>
      <c r="AB38" s="1021"/>
      <c r="AC38" s="1021"/>
      <c r="AD38" s="182"/>
    </row>
    <row r="39" spans="1:30" ht="13.8" thickBot="1" x14ac:dyDescent="0.3">
      <c r="A39" s="60" t="s">
        <v>57</v>
      </c>
      <c r="B39" s="60" t="s">
        <v>54</v>
      </c>
      <c r="C39" s="60"/>
      <c r="D39" s="166"/>
      <c r="E39" s="109"/>
      <c r="F39" s="110"/>
      <c r="G39" s="122"/>
      <c r="H39" s="109"/>
      <c r="I39" s="110"/>
      <c r="J39" s="122"/>
      <c r="K39" s="50">
        <f>SUM(K28:K38)</f>
        <v>128.5</v>
      </c>
      <c r="L39" s="93"/>
      <c r="M39" s="195">
        <f>SUM(L28:L38)</f>
        <v>478838.66399099998</v>
      </c>
      <c r="N39" s="48"/>
      <c r="O39" s="48"/>
      <c r="P39" s="48"/>
      <c r="Q39" s="48">
        <f>SUM(P28:P38)</f>
        <v>16464.8</v>
      </c>
      <c r="R39" s="185"/>
      <c r="S39" s="185"/>
      <c r="T39" s="182"/>
      <c r="U39" s="882"/>
      <c r="V39" s="883">
        <f>U39*2</f>
        <v>0</v>
      </c>
      <c r="W39" s="884">
        <f>V39*0.75</f>
        <v>0</v>
      </c>
      <c r="X39" s="885">
        <f>K39</f>
        <v>128.5</v>
      </c>
      <c r="Y39" s="886">
        <f>X39*W39</f>
        <v>0</v>
      </c>
      <c r="Z39" s="1022"/>
      <c r="AA39" s="1021"/>
      <c r="AB39" s="1021"/>
      <c r="AC39" s="1021"/>
      <c r="AD39" s="182"/>
    </row>
    <row r="40" spans="1:30" x14ac:dyDescent="0.25">
      <c r="A40" s="457" t="s">
        <v>304</v>
      </c>
      <c r="B40" s="129" t="s">
        <v>585</v>
      </c>
      <c r="C40" s="6" t="s">
        <v>264</v>
      </c>
      <c r="D40" s="252">
        <v>1</v>
      </c>
      <c r="E40" s="103">
        <v>1</v>
      </c>
      <c r="F40" s="104">
        <v>0</v>
      </c>
      <c r="G40" s="119">
        <v>0</v>
      </c>
      <c r="H40" s="103">
        <v>1</v>
      </c>
      <c r="I40" s="261">
        <v>0</v>
      </c>
      <c r="J40" s="119">
        <v>0</v>
      </c>
      <c r="K40" s="491">
        <f>(SUM(E40+H40)+((F40+I40)*0.6667)+(G40+J40)*0.3333)/2</f>
        <v>1</v>
      </c>
      <c r="L40" s="47">
        <f t="shared" ref="L40:L58" si="14">$B$266*K40</f>
        <v>3726.3709260000001</v>
      </c>
      <c r="M40" s="192"/>
      <c r="N40" s="4">
        <v>0</v>
      </c>
      <c r="O40" s="133">
        <v>0</v>
      </c>
      <c r="P40" s="7">
        <f>SUM(N40+O40)</f>
        <v>0</v>
      </c>
      <c r="Q40" s="57"/>
      <c r="R40" s="185" t="s">
        <v>867</v>
      </c>
      <c r="S40" s="173" t="s">
        <v>867</v>
      </c>
      <c r="T40" s="182"/>
      <c r="U40" s="508"/>
      <c r="V40" s="531"/>
      <c r="W40" s="509"/>
      <c r="X40" s="510"/>
      <c r="Y40" s="511"/>
      <c r="Z40" s="182"/>
      <c r="AA40" s="182"/>
      <c r="AB40" s="182"/>
      <c r="AC40" s="182"/>
      <c r="AD40" s="182"/>
    </row>
    <row r="41" spans="1:30" x14ac:dyDescent="0.25">
      <c r="A41" s="56"/>
      <c r="B41" s="75" t="s">
        <v>364</v>
      </c>
      <c r="C41" s="75" t="s">
        <v>248</v>
      </c>
      <c r="D41" s="264"/>
      <c r="E41" s="111"/>
      <c r="F41" s="112"/>
      <c r="G41" s="123"/>
      <c r="H41" s="111"/>
      <c r="I41" s="112"/>
      <c r="J41" s="123"/>
      <c r="K41" s="474">
        <f t="shared" ref="K41:K42" si="15">(SUM(E41+H41)+((F41+I41)*0.6667)+(G41+J41)*0.3333)/2</f>
        <v>0</v>
      </c>
      <c r="L41" s="47">
        <f t="shared" si="14"/>
        <v>0</v>
      </c>
      <c r="M41" s="192"/>
      <c r="N41" s="133"/>
      <c r="O41" s="133"/>
      <c r="P41" s="7">
        <f t="shared" ref="P41:P54" si="16">SUM(N41+O41)</f>
        <v>0</v>
      </c>
      <c r="Q41" s="57"/>
      <c r="R41" s="185"/>
      <c r="S41" s="185"/>
      <c r="T41" s="182"/>
      <c r="U41" s="508"/>
      <c r="V41" s="531"/>
      <c r="W41" s="509"/>
      <c r="X41" s="510"/>
      <c r="Y41" s="511"/>
      <c r="Z41" s="182"/>
      <c r="AA41" s="182"/>
      <c r="AB41" s="182"/>
      <c r="AC41" s="182"/>
      <c r="AD41" s="182"/>
    </row>
    <row r="42" spans="1:30" x14ac:dyDescent="0.25">
      <c r="A42" s="56"/>
      <c r="B42" s="75" t="s">
        <v>363</v>
      </c>
      <c r="C42" s="75" t="s">
        <v>259</v>
      </c>
      <c r="D42" s="264"/>
      <c r="E42" s="111"/>
      <c r="F42" s="112"/>
      <c r="G42" s="123"/>
      <c r="H42" s="111"/>
      <c r="I42" s="112"/>
      <c r="J42" s="123"/>
      <c r="K42" s="474">
        <f t="shared" si="15"/>
        <v>0</v>
      </c>
      <c r="L42" s="47">
        <f t="shared" si="14"/>
        <v>0</v>
      </c>
      <c r="M42" s="192"/>
      <c r="N42" s="133"/>
      <c r="O42" s="133"/>
      <c r="P42" s="7">
        <f t="shared" si="16"/>
        <v>0</v>
      </c>
      <c r="Q42" s="57"/>
      <c r="R42" s="173"/>
      <c r="S42" s="173"/>
      <c r="T42" s="182"/>
      <c r="U42" s="508"/>
      <c r="V42" s="531"/>
      <c r="W42" s="509"/>
      <c r="X42" s="510"/>
      <c r="Y42" s="511"/>
      <c r="Z42" s="182"/>
      <c r="AA42" s="182"/>
      <c r="AB42" s="182"/>
      <c r="AC42" s="182"/>
      <c r="AD42" s="182"/>
    </row>
    <row r="43" spans="1:30" x14ac:dyDescent="0.25">
      <c r="A43" s="56" t="s">
        <v>1</v>
      </c>
      <c r="B43" s="129" t="s">
        <v>880</v>
      </c>
      <c r="C43" s="129" t="s">
        <v>453</v>
      </c>
      <c r="D43" s="265"/>
      <c r="E43" s="130"/>
      <c r="F43" s="131"/>
      <c r="G43" s="132"/>
      <c r="H43" s="130"/>
      <c r="I43" s="131"/>
      <c r="J43" s="132"/>
      <c r="K43" s="491">
        <f t="shared" ref="K43:K48" si="17">(SUM(E43+H43)+((F43+I43)*0.6667)+(G43+J43)*0.3333)/2</f>
        <v>0</v>
      </c>
      <c r="L43" s="47">
        <f t="shared" si="14"/>
        <v>0</v>
      </c>
      <c r="M43" s="192"/>
      <c r="N43" s="133"/>
      <c r="O43" s="133"/>
      <c r="P43" s="7">
        <f t="shared" si="16"/>
        <v>0</v>
      </c>
      <c r="Q43" s="57"/>
      <c r="R43" s="767"/>
      <c r="S43" s="767"/>
      <c r="T43" s="182"/>
      <c r="U43" s="508"/>
      <c r="V43" s="531"/>
      <c r="W43" s="509"/>
      <c r="X43" s="510"/>
      <c r="Y43" s="511"/>
      <c r="Z43" s="182"/>
      <c r="AA43" s="182"/>
      <c r="AB43" s="182"/>
      <c r="AC43" s="182"/>
      <c r="AD43" s="182"/>
    </row>
    <row r="44" spans="1:30" x14ac:dyDescent="0.25">
      <c r="A44" s="56"/>
      <c r="B44" s="129" t="s">
        <v>362</v>
      </c>
      <c r="C44" s="6" t="s">
        <v>265</v>
      </c>
      <c r="D44" s="252">
        <v>48</v>
      </c>
      <c r="E44" s="103">
        <v>48</v>
      </c>
      <c r="F44" s="104">
        <v>0</v>
      </c>
      <c r="G44" s="119">
        <v>0</v>
      </c>
      <c r="H44" s="103">
        <v>46</v>
      </c>
      <c r="I44" s="261">
        <v>0</v>
      </c>
      <c r="J44" s="119">
        <v>0</v>
      </c>
      <c r="K44" s="491">
        <f t="shared" si="17"/>
        <v>47</v>
      </c>
      <c r="L44" s="47">
        <f t="shared" si="14"/>
        <v>175139.43352200001</v>
      </c>
      <c r="M44" s="192"/>
      <c r="N44" s="133">
        <v>4510.3999999999996</v>
      </c>
      <c r="O44" s="133">
        <v>4459.2</v>
      </c>
      <c r="P44" s="7">
        <f t="shared" si="16"/>
        <v>8969.6</v>
      </c>
      <c r="Q44" s="57"/>
      <c r="R44" s="769" t="s">
        <v>867</v>
      </c>
      <c r="S44" s="767" t="s">
        <v>867</v>
      </c>
      <c r="T44" s="182"/>
      <c r="U44" s="508"/>
      <c r="V44" s="531"/>
      <c r="W44" s="509"/>
      <c r="X44" s="510"/>
      <c r="Y44" s="511"/>
      <c r="Z44" s="182"/>
      <c r="AA44" s="182"/>
      <c r="AB44" s="182"/>
      <c r="AC44" s="182"/>
      <c r="AD44" s="182"/>
    </row>
    <row r="45" spans="1:30" x14ac:dyDescent="0.25">
      <c r="A45" s="56"/>
      <c r="B45" s="129" t="s">
        <v>361</v>
      </c>
      <c r="C45" s="6" t="s">
        <v>260</v>
      </c>
      <c r="D45" s="252"/>
      <c r="E45" s="103"/>
      <c r="F45" s="104"/>
      <c r="G45" s="119"/>
      <c r="H45" s="103"/>
      <c r="I45" s="261"/>
      <c r="J45" s="119"/>
      <c r="K45" s="491">
        <f t="shared" si="17"/>
        <v>0</v>
      </c>
      <c r="L45" s="47">
        <f t="shared" si="14"/>
        <v>0</v>
      </c>
      <c r="M45" s="192"/>
      <c r="N45" s="133"/>
      <c r="O45" s="133"/>
      <c r="P45" s="7">
        <f t="shared" si="16"/>
        <v>0</v>
      </c>
      <c r="Q45" s="57"/>
      <c r="R45" s="185"/>
      <c r="S45" s="185"/>
      <c r="T45" s="182"/>
      <c r="U45" s="508"/>
      <c r="V45" s="531"/>
      <c r="W45" s="509"/>
      <c r="X45" s="510"/>
      <c r="Y45" s="511"/>
      <c r="Z45" s="182"/>
      <c r="AA45" s="182"/>
      <c r="AB45" s="182"/>
      <c r="AC45" s="182"/>
      <c r="AD45" s="182"/>
    </row>
    <row r="46" spans="1:30" x14ac:dyDescent="0.25">
      <c r="A46" s="56"/>
      <c r="B46" s="129" t="s">
        <v>360</v>
      </c>
      <c r="C46" s="6" t="s">
        <v>266</v>
      </c>
      <c r="D46" s="252">
        <v>50</v>
      </c>
      <c r="E46" s="103">
        <v>48</v>
      </c>
      <c r="F46" s="128">
        <v>1</v>
      </c>
      <c r="G46" s="119">
        <v>0</v>
      </c>
      <c r="H46" s="103">
        <v>48</v>
      </c>
      <c r="I46" s="261">
        <v>0</v>
      </c>
      <c r="J46" s="119">
        <v>0</v>
      </c>
      <c r="K46" s="491">
        <f t="shared" si="17"/>
        <v>48.333350000000003</v>
      </c>
      <c r="L46" s="47">
        <f t="shared" si="14"/>
        <v>180107.990196</v>
      </c>
      <c r="M46" s="192"/>
      <c r="N46" s="133">
        <v>4188.8</v>
      </c>
      <c r="O46" s="133">
        <v>5014.3999999999996</v>
      </c>
      <c r="P46" s="7">
        <f t="shared" si="16"/>
        <v>9203.2000000000007</v>
      </c>
      <c r="Q46" s="57"/>
      <c r="R46" s="769" t="s">
        <v>867</v>
      </c>
      <c r="S46" s="769" t="s">
        <v>867</v>
      </c>
      <c r="T46" s="182"/>
      <c r="U46" s="508"/>
      <c r="V46" s="531"/>
      <c r="W46" s="509"/>
      <c r="X46" s="510"/>
      <c r="Y46" s="511"/>
      <c r="Z46" s="182"/>
      <c r="AA46" s="182"/>
      <c r="AB46" s="182"/>
      <c r="AC46" s="182"/>
      <c r="AD46" s="182"/>
    </row>
    <row r="47" spans="1:30" s="247" customFormat="1" x14ac:dyDescent="0.25">
      <c r="A47" s="56"/>
      <c r="B47" s="262" t="s">
        <v>348</v>
      </c>
      <c r="C47" s="248" t="s">
        <v>345</v>
      </c>
      <c r="D47" s="252"/>
      <c r="E47" s="103"/>
      <c r="F47" s="261"/>
      <c r="G47" s="119"/>
      <c r="H47" s="103"/>
      <c r="I47" s="261"/>
      <c r="J47" s="119"/>
      <c r="K47" s="491">
        <f t="shared" si="17"/>
        <v>0</v>
      </c>
      <c r="L47" s="47">
        <f t="shared" si="14"/>
        <v>0</v>
      </c>
      <c r="M47" s="268"/>
      <c r="N47" s="133"/>
      <c r="O47" s="133"/>
      <c r="P47" s="249">
        <f>SUM(N47+O47)</f>
        <v>0</v>
      </c>
      <c r="Q47" s="255"/>
      <c r="R47" s="185"/>
      <c r="S47" s="185"/>
      <c r="T47" s="182"/>
      <c r="U47" s="508"/>
      <c r="V47" s="531"/>
      <c r="W47" s="509"/>
      <c r="X47" s="510"/>
      <c r="Y47" s="511"/>
      <c r="Z47" s="182"/>
      <c r="AA47" s="182"/>
      <c r="AB47" s="182"/>
      <c r="AC47" s="182"/>
      <c r="AD47" s="182"/>
    </row>
    <row r="48" spans="1:30" s="487" customFormat="1" x14ac:dyDescent="0.25">
      <c r="A48" s="56" t="s">
        <v>1</v>
      </c>
      <c r="B48" s="262" t="s">
        <v>881</v>
      </c>
      <c r="C48" s="248" t="s">
        <v>255</v>
      </c>
      <c r="D48" s="490"/>
      <c r="E48" s="103"/>
      <c r="F48" s="261"/>
      <c r="G48" s="119"/>
      <c r="H48" s="103"/>
      <c r="I48" s="261"/>
      <c r="J48" s="119"/>
      <c r="K48" s="491">
        <f t="shared" si="17"/>
        <v>0</v>
      </c>
      <c r="L48" s="47">
        <f t="shared" si="14"/>
        <v>0</v>
      </c>
      <c r="M48" s="268"/>
      <c r="N48" s="494"/>
      <c r="O48" s="494"/>
      <c r="P48" s="488">
        <f>SUM(N48+O48)</f>
        <v>0</v>
      </c>
      <c r="Q48" s="255"/>
      <c r="R48" s="185"/>
      <c r="S48" s="185"/>
      <c r="T48" s="182"/>
      <c r="U48" s="508"/>
      <c r="V48" s="531"/>
      <c r="W48" s="509"/>
      <c r="X48" s="510"/>
      <c r="Y48" s="511"/>
      <c r="Z48" s="182"/>
      <c r="AA48" s="182"/>
      <c r="AB48" s="182"/>
      <c r="AC48" s="182"/>
      <c r="AD48" s="182"/>
    </row>
    <row r="49" spans="1:30" x14ac:dyDescent="0.25">
      <c r="A49" s="248" t="s">
        <v>1</v>
      </c>
      <c r="B49" s="75" t="s">
        <v>359</v>
      </c>
      <c r="C49" s="75" t="s">
        <v>257</v>
      </c>
      <c r="D49" s="264"/>
      <c r="E49" s="107"/>
      <c r="F49" s="108"/>
      <c r="G49" s="121"/>
      <c r="H49" s="107"/>
      <c r="I49" s="108"/>
      <c r="J49" s="121"/>
      <c r="K49" s="474">
        <f>(SUM(E49+H49)+((F49+I49)*0.6667)+(G49+J49)*0.3333)/2</f>
        <v>0</v>
      </c>
      <c r="L49" s="47">
        <f t="shared" si="14"/>
        <v>0</v>
      </c>
      <c r="M49" s="192"/>
      <c r="N49" s="133"/>
      <c r="O49" s="133"/>
      <c r="P49" s="7">
        <f t="shared" si="16"/>
        <v>0</v>
      </c>
      <c r="Q49" s="57"/>
      <c r="R49" s="185"/>
      <c r="S49" s="185"/>
      <c r="T49" s="182"/>
      <c r="U49" s="508"/>
      <c r="V49" s="531"/>
      <c r="W49" s="509"/>
      <c r="X49" s="510"/>
      <c r="Y49" s="511"/>
      <c r="Z49" s="182"/>
      <c r="AA49" s="182"/>
      <c r="AB49" s="182"/>
      <c r="AC49" s="182"/>
      <c r="AD49" s="182"/>
    </row>
    <row r="50" spans="1:30" x14ac:dyDescent="0.25">
      <c r="A50" s="56"/>
      <c r="B50" s="129" t="s">
        <v>358</v>
      </c>
      <c r="C50" s="6" t="s">
        <v>256</v>
      </c>
      <c r="D50" s="252"/>
      <c r="E50" s="103"/>
      <c r="F50" s="261"/>
      <c r="G50" s="119"/>
      <c r="H50" s="103"/>
      <c r="I50" s="261"/>
      <c r="J50" s="119"/>
      <c r="K50" s="491">
        <f t="shared" ref="K50:K51" si="18">(SUM(E50+H50)+((F50+I50)*0.6667)+(G50+J50)*0.3333)/2</f>
        <v>0</v>
      </c>
      <c r="L50" s="47">
        <f t="shared" si="14"/>
        <v>0</v>
      </c>
      <c r="M50" s="192"/>
      <c r="N50" s="133"/>
      <c r="O50" s="133"/>
      <c r="P50" s="7">
        <f t="shared" si="16"/>
        <v>0</v>
      </c>
      <c r="Q50" s="57"/>
      <c r="R50" s="185"/>
      <c r="S50" s="185"/>
      <c r="T50" s="182"/>
      <c r="U50" s="508"/>
      <c r="V50" s="531"/>
      <c r="W50" s="509"/>
      <c r="X50" s="510"/>
      <c r="Y50" s="511"/>
      <c r="Z50" s="182"/>
      <c r="AA50" s="182"/>
      <c r="AB50" s="182"/>
      <c r="AC50" s="182"/>
      <c r="AD50" s="182"/>
    </row>
    <row r="51" spans="1:30" x14ac:dyDescent="0.25">
      <c r="A51" s="890" t="s">
        <v>607</v>
      </c>
      <c r="B51" s="129" t="s">
        <v>769</v>
      </c>
      <c r="C51" s="6" t="s">
        <v>494</v>
      </c>
      <c r="D51" s="252">
        <v>1</v>
      </c>
      <c r="E51" s="103">
        <v>1</v>
      </c>
      <c r="F51" s="128">
        <v>0</v>
      </c>
      <c r="G51" s="119">
        <v>0</v>
      </c>
      <c r="H51" s="103">
        <v>0</v>
      </c>
      <c r="I51" s="261">
        <v>0</v>
      </c>
      <c r="J51" s="119">
        <v>0</v>
      </c>
      <c r="K51" s="491">
        <f t="shared" si="18"/>
        <v>0.5</v>
      </c>
      <c r="L51" s="47">
        <f t="shared" si="14"/>
        <v>1863.185463</v>
      </c>
      <c r="M51" s="192"/>
      <c r="N51" s="133">
        <v>0</v>
      </c>
      <c r="O51" s="133"/>
      <c r="P51" s="488">
        <f t="shared" si="16"/>
        <v>0</v>
      </c>
      <c r="Q51" s="57"/>
      <c r="R51" s="767" t="s">
        <v>818</v>
      </c>
      <c r="S51" s="767" t="s">
        <v>818</v>
      </c>
      <c r="T51" s="182"/>
      <c r="U51" s="508"/>
      <c r="V51" s="531"/>
      <c r="W51" s="509"/>
      <c r="X51" s="510"/>
      <c r="Y51" s="511"/>
      <c r="Z51" s="182"/>
      <c r="AA51" s="182"/>
      <c r="AB51" s="182"/>
      <c r="AC51" s="182"/>
      <c r="AD51" s="182"/>
    </row>
    <row r="52" spans="1:30" x14ac:dyDescent="0.25">
      <c r="A52" s="248" t="s">
        <v>1</v>
      </c>
      <c r="B52" s="75" t="s">
        <v>882</v>
      </c>
      <c r="C52" s="75" t="s">
        <v>346</v>
      </c>
      <c r="D52" s="264"/>
      <c r="E52" s="107"/>
      <c r="F52" s="108"/>
      <c r="G52" s="121"/>
      <c r="H52" s="107"/>
      <c r="I52" s="108"/>
      <c r="J52" s="121"/>
      <c r="K52" s="474">
        <f>(SUM(E52+H52)+((F52+I52)*0.6667)+(G52+J52)*0.3333)/2</f>
        <v>0</v>
      </c>
      <c r="L52" s="47">
        <f t="shared" si="14"/>
        <v>0</v>
      </c>
      <c r="M52" s="192"/>
      <c r="N52" s="133"/>
      <c r="O52" s="133"/>
      <c r="P52" s="7">
        <f>SUM(N52+O52)</f>
        <v>0</v>
      </c>
      <c r="Q52" s="57"/>
      <c r="R52" s="185"/>
      <c r="S52" s="767"/>
      <c r="T52" s="182"/>
      <c r="U52" s="508"/>
      <c r="V52" s="531"/>
      <c r="W52" s="509"/>
      <c r="X52" s="510"/>
      <c r="Y52" s="511"/>
      <c r="Z52" s="182"/>
      <c r="AA52" s="182"/>
      <c r="AB52" s="182"/>
      <c r="AC52" s="182"/>
      <c r="AD52" s="182"/>
    </row>
    <row r="53" spans="1:30" x14ac:dyDescent="0.25">
      <c r="A53" s="56"/>
      <c r="B53" s="129" t="s">
        <v>357</v>
      </c>
      <c r="C53" s="6" t="s">
        <v>268</v>
      </c>
      <c r="D53" s="252">
        <v>56</v>
      </c>
      <c r="E53" s="103">
        <v>53</v>
      </c>
      <c r="F53" s="261">
        <v>2</v>
      </c>
      <c r="G53" s="119">
        <v>0</v>
      </c>
      <c r="H53" s="103">
        <v>47</v>
      </c>
      <c r="I53" s="261">
        <v>0</v>
      </c>
      <c r="J53" s="119">
        <v>0</v>
      </c>
      <c r="K53" s="491">
        <f>(SUM(E53+H53)+((F53+I53)*0.6667)+(G53+J53)*0.3333)/2</f>
        <v>50.666699999999999</v>
      </c>
      <c r="L53" s="47">
        <f t="shared" si="14"/>
        <v>188802.91779599999</v>
      </c>
      <c r="M53" s="192"/>
      <c r="N53" s="133">
        <v>7856.8</v>
      </c>
      <c r="O53" s="133">
        <v>8360.7999999999993</v>
      </c>
      <c r="P53" s="7">
        <f t="shared" si="16"/>
        <v>16217.6</v>
      </c>
      <c r="Q53" s="57"/>
      <c r="R53" s="767" t="s">
        <v>867</v>
      </c>
      <c r="S53" s="173" t="s">
        <v>867</v>
      </c>
      <c r="T53" s="182"/>
      <c r="U53" s="508"/>
      <c r="V53" s="531"/>
      <c r="W53" s="509"/>
      <c r="X53" s="510"/>
      <c r="Y53" s="511"/>
      <c r="Z53" s="182"/>
      <c r="AA53" s="182"/>
      <c r="AB53" s="182"/>
      <c r="AC53" s="182"/>
      <c r="AD53" s="182"/>
    </row>
    <row r="54" spans="1:30" x14ac:dyDescent="0.25">
      <c r="A54" s="56"/>
      <c r="B54" s="75" t="s">
        <v>350</v>
      </c>
      <c r="C54" s="75" t="s">
        <v>263</v>
      </c>
      <c r="D54" s="264"/>
      <c r="E54" s="111"/>
      <c r="F54" s="112"/>
      <c r="G54" s="123"/>
      <c r="H54" s="111"/>
      <c r="I54" s="112"/>
      <c r="J54" s="123"/>
      <c r="K54" s="474">
        <f>(SUM(E54+H54)+((F54+I54)*0.6667)+(G54+J54)*0.3333)/2</f>
        <v>0</v>
      </c>
      <c r="L54" s="47">
        <f t="shared" si="14"/>
        <v>0</v>
      </c>
      <c r="M54" s="192"/>
      <c r="N54" s="133"/>
      <c r="O54" s="133"/>
      <c r="P54" s="7">
        <f t="shared" si="16"/>
        <v>0</v>
      </c>
      <c r="Q54" s="57"/>
      <c r="R54" s="185"/>
      <c r="S54" s="185"/>
      <c r="T54" s="182"/>
      <c r="U54" s="508"/>
      <c r="V54" s="531"/>
      <c r="W54" s="509"/>
      <c r="X54" s="510"/>
      <c r="Y54" s="511"/>
      <c r="Z54" s="182"/>
      <c r="AA54" s="182"/>
      <c r="AB54" s="182"/>
      <c r="AC54" s="182"/>
      <c r="AD54" s="182"/>
    </row>
    <row r="55" spans="1:30" x14ac:dyDescent="0.25">
      <c r="A55" s="56"/>
      <c r="B55" s="129" t="s">
        <v>356</v>
      </c>
      <c r="C55" s="6" t="s">
        <v>353</v>
      </c>
      <c r="D55" s="252">
        <v>69</v>
      </c>
      <c r="E55" s="103">
        <v>61</v>
      </c>
      <c r="F55" s="261">
        <v>2</v>
      </c>
      <c r="G55" s="119">
        <v>1</v>
      </c>
      <c r="H55" s="103">
        <v>57</v>
      </c>
      <c r="I55" s="261">
        <v>0</v>
      </c>
      <c r="J55" s="119">
        <v>0</v>
      </c>
      <c r="K55" s="491">
        <f t="shared" ref="K55:K58" si="19">(SUM(E55+H55)+((F55+I55)*0.6667)+(G55+J55)*0.3333)/2</f>
        <v>59.833350000000003</v>
      </c>
      <c r="L55" s="47">
        <f t="shared" si="14"/>
        <v>222961.25584500001</v>
      </c>
      <c r="M55" s="192"/>
      <c r="N55" s="133">
        <v>5306.4</v>
      </c>
      <c r="O55" s="133">
        <v>5832</v>
      </c>
      <c r="P55" s="7">
        <f>SUM(N55+O55)</f>
        <v>11138.4</v>
      </c>
      <c r="Q55" s="57"/>
      <c r="R55" s="769" t="s">
        <v>867</v>
      </c>
      <c r="S55" s="767" t="s">
        <v>908</v>
      </c>
      <c r="T55" s="185"/>
      <c r="U55" s="508"/>
      <c r="V55" s="531"/>
      <c r="W55" s="509"/>
      <c r="X55" s="510"/>
      <c r="Y55" s="511"/>
      <c r="Z55" s="182"/>
      <c r="AA55" s="182"/>
      <c r="AB55" s="182"/>
      <c r="AC55" s="182"/>
      <c r="AD55" s="182"/>
    </row>
    <row r="56" spans="1:30" x14ac:dyDescent="0.25">
      <c r="A56" s="56"/>
      <c r="B56" s="129" t="s">
        <v>355</v>
      </c>
      <c r="C56" s="6" t="s">
        <v>901</v>
      </c>
      <c r="D56" s="252">
        <v>1</v>
      </c>
      <c r="E56" s="103">
        <v>1</v>
      </c>
      <c r="F56" s="131">
        <v>0</v>
      </c>
      <c r="G56" s="119">
        <v>0</v>
      </c>
      <c r="H56" s="103">
        <v>1</v>
      </c>
      <c r="I56" s="131">
        <v>0</v>
      </c>
      <c r="J56" s="119">
        <v>0</v>
      </c>
      <c r="K56" s="491">
        <f t="shared" si="19"/>
        <v>1</v>
      </c>
      <c r="L56" s="47">
        <f t="shared" si="14"/>
        <v>3726.3709260000001</v>
      </c>
      <c r="M56" s="192"/>
      <c r="N56" s="133">
        <v>0</v>
      </c>
      <c r="O56" s="133">
        <v>0</v>
      </c>
      <c r="P56" s="7">
        <f>SUM(N56+O56)</f>
        <v>0</v>
      </c>
      <c r="Q56" s="57"/>
      <c r="R56" s="185" t="s">
        <v>867</v>
      </c>
      <c r="S56" s="185" t="s">
        <v>867</v>
      </c>
      <c r="T56" s="182"/>
      <c r="U56" s="508"/>
      <c r="V56" s="531"/>
      <c r="W56" s="509"/>
      <c r="X56" s="510"/>
      <c r="Y56" s="512"/>
      <c r="Z56" s="182"/>
      <c r="AA56" s="182"/>
      <c r="AB56" s="182"/>
      <c r="AC56" s="182"/>
      <c r="AD56" s="182"/>
    </row>
    <row r="57" spans="1:30" x14ac:dyDescent="0.25">
      <c r="A57" s="56"/>
      <c r="B57" s="129" t="s">
        <v>58</v>
      </c>
      <c r="C57" s="129" t="s">
        <v>323</v>
      </c>
      <c r="D57" s="252"/>
      <c r="E57" s="103"/>
      <c r="F57" s="128"/>
      <c r="G57" s="119"/>
      <c r="H57" s="103"/>
      <c r="I57" s="261"/>
      <c r="J57" s="119"/>
      <c r="K57" s="491">
        <f t="shared" si="19"/>
        <v>0</v>
      </c>
      <c r="L57" s="47">
        <f t="shared" si="14"/>
        <v>0</v>
      </c>
      <c r="M57" s="192"/>
      <c r="N57" s="133"/>
      <c r="O57" s="133"/>
      <c r="P57" s="7">
        <f>SUM(N57+O57)</f>
        <v>0</v>
      </c>
      <c r="Q57" s="57"/>
      <c r="R57" s="185"/>
      <c r="S57" s="173"/>
      <c r="T57" s="262"/>
      <c r="U57" s="513"/>
      <c r="V57" s="530"/>
      <c r="W57" s="516"/>
      <c r="X57" s="515"/>
      <c r="Y57" s="514"/>
      <c r="Z57" s="182"/>
      <c r="AA57" s="182"/>
      <c r="AB57" s="182"/>
      <c r="AC57" s="182"/>
      <c r="AD57" s="182"/>
    </row>
    <row r="58" spans="1:30" x14ac:dyDescent="0.25">
      <c r="A58" s="56"/>
      <c r="B58" s="129" t="s">
        <v>354</v>
      </c>
      <c r="C58" s="6" t="s">
        <v>262</v>
      </c>
      <c r="D58" s="252">
        <v>96</v>
      </c>
      <c r="E58" s="103">
        <v>94</v>
      </c>
      <c r="F58" s="261">
        <v>0</v>
      </c>
      <c r="G58" s="119">
        <v>1</v>
      </c>
      <c r="H58" s="103">
        <v>83</v>
      </c>
      <c r="I58" s="261">
        <v>0</v>
      </c>
      <c r="J58" s="119">
        <v>0</v>
      </c>
      <c r="K58" s="491">
        <f t="shared" si="19"/>
        <v>88.666650000000004</v>
      </c>
      <c r="L58" s="47">
        <f t="shared" si="14"/>
        <v>330404.82666600001</v>
      </c>
      <c r="M58" s="192"/>
      <c r="N58" s="133">
        <v>6322.4</v>
      </c>
      <c r="O58" s="133">
        <v>5912.2</v>
      </c>
      <c r="P58" s="7">
        <f>SUM(N58+O58)</f>
        <v>12234.6</v>
      </c>
      <c r="Q58" s="89"/>
      <c r="R58" s="769" t="s">
        <v>867</v>
      </c>
      <c r="S58" s="185" t="s">
        <v>867</v>
      </c>
      <c r="T58" s="182"/>
      <c r="U58" s="508"/>
      <c r="V58" s="531"/>
      <c r="W58" s="509"/>
      <c r="X58" s="510"/>
      <c r="Y58" s="511"/>
      <c r="Z58" s="182"/>
      <c r="AA58" s="182"/>
      <c r="AB58" s="182"/>
      <c r="AC58" s="182"/>
      <c r="AD58" s="182"/>
    </row>
    <row r="59" spans="1:30" ht="13.8" thickBot="1" x14ac:dyDescent="0.3">
      <c r="A59" s="60"/>
      <c r="B59" s="60" t="s">
        <v>54</v>
      </c>
      <c r="C59" s="60"/>
      <c r="D59" s="166"/>
      <c r="E59" s="109"/>
      <c r="F59" s="110"/>
      <c r="G59" s="122"/>
      <c r="H59" s="109"/>
      <c r="I59" s="110"/>
      <c r="J59" s="122"/>
      <c r="K59" s="50">
        <f>SUM(K40:K58)</f>
        <v>297.00004999999999</v>
      </c>
      <c r="L59" s="93"/>
      <c r="M59" s="196">
        <f>SUM(L40:L58)</f>
        <v>1106732.3513400001</v>
      </c>
      <c r="N59" s="48"/>
      <c r="O59" s="48"/>
      <c r="P59" s="48"/>
      <c r="Q59" s="253">
        <f>SUM(P40:P58)</f>
        <v>57763.4</v>
      </c>
      <c r="R59" s="185"/>
      <c r="S59" s="185"/>
      <c r="T59" s="182"/>
      <c r="U59" s="877">
        <v>3319.74</v>
      </c>
      <c r="V59" s="878">
        <f>U59*2</f>
        <v>6639.48</v>
      </c>
      <c r="W59" s="879">
        <f>V59*0.75</f>
        <v>4979.6099999999997</v>
      </c>
      <c r="X59" s="880">
        <f>K59</f>
        <v>297.00004999999999</v>
      </c>
      <c r="Y59" s="881">
        <f>X59*W59</f>
        <v>1478944.42</v>
      </c>
      <c r="Z59" s="182"/>
      <c r="AA59" s="182"/>
      <c r="AB59" s="182"/>
      <c r="AC59" s="182"/>
      <c r="AD59" s="182"/>
    </row>
    <row r="60" spans="1:30" x14ac:dyDescent="0.25">
      <c r="A60" s="457" t="s">
        <v>305</v>
      </c>
      <c r="B60" s="6" t="s">
        <v>488</v>
      </c>
      <c r="C60" s="6" t="s">
        <v>276</v>
      </c>
      <c r="D60" s="36">
        <v>34</v>
      </c>
      <c r="E60" s="103">
        <v>30</v>
      </c>
      <c r="F60" s="261">
        <v>1</v>
      </c>
      <c r="G60" s="119">
        <v>0</v>
      </c>
      <c r="H60" s="103">
        <v>31</v>
      </c>
      <c r="I60" s="261">
        <v>0</v>
      </c>
      <c r="J60" s="119">
        <v>0</v>
      </c>
      <c r="K60" s="491">
        <f t="shared" ref="K60:K66" si="20">(SUM(E60+H60)+((F60+I60)*0.6667)+(G60+J60)*0.3333)/2</f>
        <v>30.833349999999999</v>
      </c>
      <c r="L60" s="47">
        <f t="shared" ref="L60:L70" si="21">$B$266*K60</f>
        <v>114896.498991</v>
      </c>
      <c r="M60" s="192"/>
      <c r="N60" s="7">
        <v>991.8</v>
      </c>
      <c r="O60" s="7">
        <v>1803.6</v>
      </c>
      <c r="P60" s="7">
        <f t="shared" ref="P60:P68" si="22">SUM(N60+O60)</f>
        <v>2795.4</v>
      </c>
      <c r="Q60" s="57"/>
      <c r="R60" s="185" t="s">
        <v>867</v>
      </c>
      <c r="S60" s="769" t="s">
        <v>867</v>
      </c>
      <c r="T60" s="182"/>
      <c r="U60" s="508"/>
      <c r="V60" s="531"/>
      <c r="W60" s="509"/>
      <c r="X60" s="510"/>
      <c r="Y60" s="511"/>
      <c r="Z60" s="182"/>
      <c r="AA60" s="182"/>
      <c r="AB60" s="182"/>
      <c r="AC60" s="182"/>
      <c r="AD60" s="182"/>
    </row>
    <row r="61" spans="1:30" x14ac:dyDescent="0.25">
      <c r="A61" s="56" t="s">
        <v>306</v>
      </c>
      <c r="B61" s="6" t="s">
        <v>371</v>
      </c>
      <c r="C61" s="6" t="s">
        <v>275</v>
      </c>
      <c r="D61" s="36">
        <v>9</v>
      </c>
      <c r="E61" s="103">
        <v>9</v>
      </c>
      <c r="F61" s="261">
        <v>0</v>
      </c>
      <c r="G61" s="119">
        <v>0</v>
      </c>
      <c r="H61" s="103">
        <v>9</v>
      </c>
      <c r="I61" s="261">
        <v>0</v>
      </c>
      <c r="J61" s="119">
        <v>0</v>
      </c>
      <c r="K61" s="491">
        <f t="shared" si="20"/>
        <v>9</v>
      </c>
      <c r="L61" s="47">
        <f t="shared" si="21"/>
        <v>33537.338334</v>
      </c>
      <c r="M61" s="192"/>
      <c r="N61" s="133">
        <v>1489.4</v>
      </c>
      <c r="O61" s="133">
        <v>2554.1999999999998</v>
      </c>
      <c r="P61" s="7">
        <f t="shared" si="22"/>
        <v>4043.6</v>
      </c>
      <c r="Q61" s="57"/>
      <c r="R61" s="185" t="s">
        <v>867</v>
      </c>
      <c r="S61" s="769" t="s">
        <v>867</v>
      </c>
      <c r="T61" s="182"/>
      <c r="U61" s="508"/>
      <c r="V61" s="531"/>
      <c r="W61" s="509"/>
      <c r="X61" s="510"/>
      <c r="Y61" s="511"/>
      <c r="Z61" s="182"/>
      <c r="AA61" s="182"/>
      <c r="AB61" s="182"/>
      <c r="AC61" s="182"/>
      <c r="AD61" s="182"/>
    </row>
    <row r="62" spans="1:30" x14ac:dyDescent="0.25">
      <c r="A62" s="56"/>
      <c r="B62" s="6" t="s">
        <v>370</v>
      </c>
      <c r="C62" s="6" t="s">
        <v>277</v>
      </c>
      <c r="D62" s="36">
        <v>12</v>
      </c>
      <c r="E62" s="174">
        <v>12</v>
      </c>
      <c r="F62" s="175">
        <v>0</v>
      </c>
      <c r="G62" s="176">
        <v>0</v>
      </c>
      <c r="H62" s="103">
        <v>11</v>
      </c>
      <c r="I62" s="175">
        <v>0</v>
      </c>
      <c r="J62" s="119">
        <v>0</v>
      </c>
      <c r="K62" s="491">
        <f t="shared" si="20"/>
        <v>11.5</v>
      </c>
      <c r="L62" s="47">
        <f t="shared" si="21"/>
        <v>42853.265649000001</v>
      </c>
      <c r="M62" s="192"/>
      <c r="N62" s="7">
        <v>1701.7</v>
      </c>
      <c r="O62" s="7">
        <v>2936.5</v>
      </c>
      <c r="P62" s="7">
        <f t="shared" si="22"/>
        <v>4638.2</v>
      </c>
      <c r="Q62" s="57"/>
      <c r="R62" s="769" t="s">
        <v>867</v>
      </c>
      <c r="S62" s="769" t="s">
        <v>867</v>
      </c>
      <c r="T62" s="182"/>
      <c r="U62" s="508"/>
      <c r="V62" s="531"/>
      <c r="W62" s="509"/>
      <c r="X62" s="510"/>
      <c r="Y62" s="511"/>
      <c r="Z62" s="182"/>
      <c r="AA62" s="182"/>
      <c r="AB62" s="182"/>
      <c r="AC62" s="182"/>
      <c r="AD62" s="182"/>
    </row>
    <row r="63" spans="1:30" x14ac:dyDescent="0.25">
      <c r="A63" s="56"/>
      <c r="B63" s="129" t="s">
        <v>530</v>
      </c>
      <c r="C63" s="6" t="s">
        <v>252</v>
      </c>
      <c r="E63" s="103"/>
      <c r="F63" s="261"/>
      <c r="G63" s="119"/>
      <c r="H63" s="103"/>
      <c r="I63" s="261"/>
      <c r="J63" s="119"/>
      <c r="K63" s="491">
        <f t="shared" si="20"/>
        <v>0</v>
      </c>
      <c r="L63" s="47">
        <f t="shared" si="21"/>
        <v>0</v>
      </c>
      <c r="M63" s="192"/>
      <c r="N63" s="7"/>
      <c r="O63" s="7"/>
      <c r="P63" s="7">
        <f>SUM(N63+O63)</f>
        <v>0</v>
      </c>
      <c r="Q63" s="57"/>
      <c r="R63" s="185"/>
      <c r="S63" s="185"/>
      <c r="T63" s="182"/>
      <c r="U63" s="508"/>
      <c r="V63" s="531"/>
      <c r="W63" s="509"/>
      <c r="X63" s="510"/>
      <c r="Y63" s="511"/>
      <c r="Z63" s="182"/>
      <c r="AA63" s="182"/>
      <c r="AB63" s="182"/>
      <c r="AC63" s="182"/>
      <c r="AD63" s="182"/>
    </row>
    <row r="64" spans="1:30" x14ac:dyDescent="0.25">
      <c r="A64" s="56"/>
      <c r="B64" s="6" t="s">
        <v>369</v>
      </c>
      <c r="C64" s="6" t="s">
        <v>278</v>
      </c>
      <c r="D64" s="36">
        <v>13</v>
      </c>
      <c r="E64" s="103">
        <v>11</v>
      </c>
      <c r="F64" s="261">
        <v>0</v>
      </c>
      <c r="G64" s="119">
        <v>0</v>
      </c>
      <c r="H64" s="103">
        <v>14</v>
      </c>
      <c r="I64" s="261">
        <v>0</v>
      </c>
      <c r="J64" s="119">
        <v>0</v>
      </c>
      <c r="K64" s="491">
        <f t="shared" si="20"/>
        <v>12.5</v>
      </c>
      <c r="L64" s="47">
        <f t="shared" si="21"/>
        <v>46579.636574999997</v>
      </c>
      <c r="M64" s="192"/>
      <c r="N64" s="7">
        <v>1461.9</v>
      </c>
      <c r="O64" s="7">
        <v>3438.6</v>
      </c>
      <c r="P64" s="7">
        <f t="shared" si="22"/>
        <v>4900.5</v>
      </c>
      <c r="Q64" s="57"/>
      <c r="R64" s="185" t="s">
        <v>867</v>
      </c>
      <c r="S64" s="769" t="s">
        <v>867</v>
      </c>
      <c r="T64" s="182"/>
      <c r="U64" s="508"/>
      <c r="V64" s="531"/>
      <c r="W64" s="509"/>
      <c r="X64" s="510"/>
      <c r="Y64" s="511"/>
      <c r="Z64" s="182"/>
      <c r="AA64" s="182"/>
      <c r="AB64" s="182"/>
      <c r="AC64" s="182"/>
      <c r="AD64" s="182"/>
    </row>
    <row r="65" spans="1:30" x14ac:dyDescent="0.25">
      <c r="A65" s="56" t="s">
        <v>306</v>
      </c>
      <c r="B65" s="75" t="s">
        <v>368</v>
      </c>
      <c r="C65" s="75" t="s">
        <v>279</v>
      </c>
      <c r="D65" s="264">
        <v>6</v>
      </c>
      <c r="E65" s="111">
        <v>5</v>
      </c>
      <c r="F65" s="112">
        <v>0</v>
      </c>
      <c r="G65" s="123">
        <v>0</v>
      </c>
      <c r="H65" s="111">
        <v>6</v>
      </c>
      <c r="I65" s="112">
        <v>0</v>
      </c>
      <c r="J65" s="123">
        <v>0</v>
      </c>
      <c r="K65" s="474">
        <f t="shared" si="20"/>
        <v>5.5</v>
      </c>
      <c r="L65" s="47">
        <f t="shared" si="21"/>
        <v>20495.040093</v>
      </c>
      <c r="M65" s="192"/>
      <c r="N65" s="7">
        <v>1816</v>
      </c>
      <c r="O65" s="7">
        <v>3664</v>
      </c>
      <c r="P65" s="7">
        <f t="shared" si="22"/>
        <v>5480</v>
      </c>
      <c r="Q65" s="57"/>
      <c r="R65" s="769" t="s">
        <v>867</v>
      </c>
      <c r="S65" s="769" t="s">
        <v>867</v>
      </c>
      <c r="T65" s="182"/>
      <c r="U65" s="508"/>
      <c r="V65" s="531"/>
      <c r="W65" s="509"/>
      <c r="X65" s="510"/>
      <c r="Y65" s="511"/>
      <c r="Z65" s="182"/>
      <c r="AA65" s="182"/>
      <c r="AB65" s="182"/>
      <c r="AC65" s="182"/>
      <c r="AD65" s="182"/>
    </row>
    <row r="66" spans="1:30" x14ac:dyDescent="0.25">
      <c r="A66" s="56" t="s">
        <v>306</v>
      </c>
      <c r="B66" s="75" t="s">
        <v>367</v>
      </c>
      <c r="C66" s="75" t="s">
        <v>292</v>
      </c>
      <c r="D66" s="264">
        <f>5+4</f>
        <v>9</v>
      </c>
      <c r="E66" s="107">
        <f>4+5</f>
        <v>9</v>
      </c>
      <c r="F66" s="108">
        <v>0</v>
      </c>
      <c r="G66" s="121">
        <v>0</v>
      </c>
      <c r="H66" s="107">
        <f>4+5</f>
        <v>9</v>
      </c>
      <c r="I66" s="108">
        <v>0</v>
      </c>
      <c r="J66" s="121">
        <v>0</v>
      </c>
      <c r="K66" s="474">
        <f t="shared" si="20"/>
        <v>9</v>
      </c>
      <c r="L66" s="47">
        <f t="shared" si="21"/>
        <v>33537.338334</v>
      </c>
      <c r="M66" s="192"/>
      <c r="N66" s="7">
        <f>572.5+460</f>
        <v>1032.5</v>
      </c>
      <c r="O66" s="7">
        <f>835+1040</f>
        <v>1875</v>
      </c>
      <c r="P66" s="7">
        <f t="shared" si="22"/>
        <v>2907.5</v>
      </c>
      <c r="Q66" s="57"/>
      <c r="R66" s="767" t="s">
        <v>867</v>
      </c>
      <c r="S66" s="769" t="s">
        <v>867</v>
      </c>
      <c r="T66" s="262"/>
      <c r="U66" s="508"/>
      <c r="V66" s="531"/>
      <c r="W66" s="509"/>
      <c r="X66" s="510"/>
      <c r="Y66" s="511"/>
      <c r="Z66" s="182"/>
      <c r="AA66" s="182"/>
      <c r="AB66" s="182"/>
      <c r="AC66" s="182"/>
      <c r="AD66" s="182"/>
    </row>
    <row r="67" spans="1:30" x14ac:dyDescent="0.25">
      <c r="A67" s="56" t="s">
        <v>306</v>
      </c>
      <c r="B67" s="6" t="s">
        <v>366</v>
      </c>
      <c r="C67" s="6" t="s">
        <v>258</v>
      </c>
      <c r="D67" s="490">
        <v>9</v>
      </c>
      <c r="E67" s="103">
        <v>9</v>
      </c>
      <c r="F67" s="261">
        <v>0</v>
      </c>
      <c r="G67" s="119">
        <v>0</v>
      </c>
      <c r="H67" s="103">
        <v>10</v>
      </c>
      <c r="I67" s="261">
        <v>0</v>
      </c>
      <c r="J67" s="119">
        <v>0</v>
      </c>
      <c r="K67" s="491">
        <f>(SUM(E67+H67)+((F67+I67)*0.6667)+(G67+J67)*0.3333)/2</f>
        <v>9.5</v>
      </c>
      <c r="L67" s="47">
        <f t="shared" si="21"/>
        <v>35400.523797000002</v>
      </c>
      <c r="M67" s="192"/>
      <c r="N67" s="7">
        <f>1858.5-207-207</f>
        <v>1444.5</v>
      </c>
      <c r="O67" s="7">
        <v>3784.5</v>
      </c>
      <c r="P67" s="7">
        <f t="shared" si="22"/>
        <v>5229</v>
      </c>
      <c r="Q67" s="57"/>
      <c r="R67" s="185" t="s">
        <v>867</v>
      </c>
      <c r="S67" s="769" t="s">
        <v>867</v>
      </c>
      <c r="T67" s="182"/>
      <c r="U67" s="508"/>
      <c r="V67" s="531"/>
      <c r="W67" s="509"/>
      <c r="X67" s="510"/>
      <c r="Y67" s="512"/>
      <c r="Z67" s="182"/>
      <c r="AA67" s="182"/>
      <c r="AB67" s="182"/>
      <c r="AC67" s="182"/>
      <c r="AD67" s="182"/>
    </row>
    <row r="68" spans="1:30" x14ac:dyDescent="0.25">
      <c r="A68" s="56"/>
      <c r="B68" s="75" t="s">
        <v>365</v>
      </c>
      <c r="C68" s="75" t="s">
        <v>257</v>
      </c>
      <c r="D68" s="264"/>
      <c r="E68" s="111"/>
      <c r="F68" s="112"/>
      <c r="G68" s="123"/>
      <c r="H68" s="111"/>
      <c r="I68" s="112"/>
      <c r="J68" s="123"/>
      <c r="K68" s="474">
        <f>(SUM(E68+H68)+((F68+I68)*0.6667)+(G68+J68)*0.3333)/2</f>
        <v>0</v>
      </c>
      <c r="L68" s="47">
        <f t="shared" si="21"/>
        <v>0</v>
      </c>
      <c r="M68" s="192"/>
      <c r="N68" s="7"/>
      <c r="O68" s="7"/>
      <c r="P68" s="7">
        <f t="shared" si="22"/>
        <v>0</v>
      </c>
      <c r="Q68" s="57"/>
      <c r="R68" s="185"/>
      <c r="S68" s="185"/>
      <c r="T68" s="182"/>
      <c r="U68" s="513"/>
      <c r="V68" s="530"/>
      <c r="W68" s="516" t="s">
        <v>1</v>
      </c>
      <c r="X68" s="515" t="s">
        <v>1</v>
      </c>
      <c r="Y68" s="514" t="s">
        <v>1</v>
      </c>
      <c r="Z68" s="182"/>
      <c r="AA68" s="182"/>
      <c r="AB68" s="182"/>
      <c r="AC68" s="182"/>
      <c r="AD68" s="182"/>
    </row>
    <row r="69" spans="1:30" x14ac:dyDescent="0.25">
      <c r="A69" s="56"/>
      <c r="B69" s="129" t="s">
        <v>50</v>
      </c>
      <c r="C69" s="129" t="s">
        <v>283</v>
      </c>
      <c r="D69" s="265">
        <v>2</v>
      </c>
      <c r="E69" s="130">
        <v>2</v>
      </c>
      <c r="F69" s="131">
        <v>0</v>
      </c>
      <c r="G69" s="132">
        <v>0</v>
      </c>
      <c r="H69" s="130">
        <v>2</v>
      </c>
      <c r="I69" s="131">
        <v>0</v>
      </c>
      <c r="J69" s="132">
        <v>0</v>
      </c>
      <c r="K69" s="491">
        <f t="shared" ref="K69:K70" si="23">(SUM(E69+H69)+((F69+I69)*0.6667)+(G69+J69)*0.3333)/2</f>
        <v>2</v>
      </c>
      <c r="L69" s="47">
        <f t="shared" si="21"/>
        <v>7452.7418520000001</v>
      </c>
      <c r="M69" s="192"/>
      <c r="N69" s="7">
        <v>506</v>
      </c>
      <c r="O69" s="7">
        <v>924</v>
      </c>
      <c r="P69" s="7">
        <f>SUM(N69+O69)</f>
        <v>1430</v>
      </c>
      <c r="Q69" s="57"/>
      <c r="R69" s="767" t="s">
        <v>867</v>
      </c>
      <c r="S69" s="767" t="s">
        <v>867</v>
      </c>
      <c r="T69" s="182"/>
      <c r="U69" s="508"/>
      <c r="V69" s="531"/>
      <c r="W69" s="509"/>
      <c r="X69" s="510"/>
      <c r="Y69" s="511"/>
      <c r="Z69" s="182"/>
      <c r="AA69" s="182"/>
      <c r="AB69" s="182"/>
      <c r="AC69" s="182"/>
      <c r="AD69" s="182"/>
    </row>
    <row r="70" spans="1:30" s="247" customFormat="1" x14ac:dyDescent="0.25">
      <c r="A70" s="457"/>
      <c r="B70" s="262" t="s">
        <v>15</v>
      </c>
      <c r="C70" s="262" t="s">
        <v>901</v>
      </c>
      <c r="D70" s="173"/>
      <c r="E70" s="130"/>
      <c r="F70" s="131"/>
      <c r="G70" s="132"/>
      <c r="H70" s="130"/>
      <c r="I70" s="131"/>
      <c r="J70" s="132"/>
      <c r="K70" s="491">
        <f t="shared" si="23"/>
        <v>0</v>
      </c>
      <c r="L70" s="47">
        <f t="shared" si="21"/>
        <v>0</v>
      </c>
      <c r="M70" s="268"/>
      <c r="N70" s="249"/>
      <c r="O70" s="249"/>
      <c r="P70" s="249">
        <f>SUM(N70+O70)</f>
        <v>0</v>
      </c>
      <c r="Q70" s="255"/>
      <c r="R70" s="173"/>
      <c r="S70" s="185"/>
      <c r="T70" s="182"/>
      <c r="U70" s="508"/>
      <c r="V70" s="531"/>
      <c r="W70" s="509"/>
      <c r="X70" s="510"/>
      <c r="Y70" s="512"/>
      <c r="Z70" s="182"/>
      <c r="AA70" s="182"/>
      <c r="AB70" s="182"/>
      <c r="AC70" s="182"/>
      <c r="AD70" s="182"/>
    </row>
    <row r="71" spans="1:30" ht="13.8" thickBot="1" x14ac:dyDescent="0.3">
      <c r="A71" s="60"/>
      <c r="B71" s="60" t="s">
        <v>54</v>
      </c>
      <c r="C71" s="60"/>
      <c r="D71" s="166"/>
      <c r="E71" s="109"/>
      <c r="F71" s="110"/>
      <c r="G71" s="122"/>
      <c r="H71" s="109"/>
      <c r="I71" s="110"/>
      <c r="J71" s="122"/>
      <c r="K71" s="50">
        <f>SUM(K60:K70)</f>
        <v>89.833349999999996</v>
      </c>
      <c r="L71" s="93"/>
      <c r="M71" s="193">
        <f>SUM(L60:L70)</f>
        <v>334752.38362500002</v>
      </c>
      <c r="N71" s="48"/>
      <c r="O71" s="48"/>
      <c r="P71" s="48"/>
      <c r="Q71" s="48">
        <f>SUM(P60:P70)</f>
        <v>31424.2</v>
      </c>
      <c r="R71" s="185"/>
      <c r="S71" s="185"/>
      <c r="T71" s="182"/>
      <c r="U71" s="877">
        <v>3197.57</v>
      </c>
      <c r="V71" s="878">
        <f>U71*2</f>
        <v>6395.14</v>
      </c>
      <c r="W71" s="879">
        <f>V71*0.75</f>
        <v>4796.3599999999997</v>
      </c>
      <c r="X71" s="880">
        <f>K71</f>
        <v>89.833349999999996</v>
      </c>
      <c r="Y71" s="881">
        <f>X71*W71</f>
        <v>430873.09</v>
      </c>
      <c r="Z71" s="182"/>
      <c r="AA71" s="182"/>
      <c r="AB71" s="182"/>
      <c r="AC71" s="182"/>
      <c r="AD71" s="182"/>
    </row>
    <row r="72" spans="1:30" x14ac:dyDescent="0.25">
      <c r="A72" s="1013" t="s">
        <v>307</v>
      </c>
      <c r="B72" s="75" t="s">
        <v>588</v>
      </c>
      <c r="C72" s="75" t="s">
        <v>291</v>
      </c>
      <c r="D72" s="165">
        <v>0</v>
      </c>
      <c r="E72" s="107">
        <v>0</v>
      </c>
      <c r="F72" s="108">
        <v>0</v>
      </c>
      <c r="G72" s="121">
        <v>0</v>
      </c>
      <c r="H72" s="107">
        <v>0</v>
      </c>
      <c r="I72" s="108">
        <v>0</v>
      </c>
      <c r="J72" s="121">
        <v>0</v>
      </c>
      <c r="K72" s="474">
        <f t="shared" ref="K72:K73" si="24">(SUM(E72+H72)+((F72+I72)*0.6667)+(G72+J72)*0.3333)/2</f>
        <v>0</v>
      </c>
      <c r="L72" s="47">
        <f>$B$266*K72</f>
        <v>0</v>
      </c>
      <c r="M72" s="192"/>
      <c r="N72" s="7">
        <v>0</v>
      </c>
      <c r="O72" s="133">
        <v>0</v>
      </c>
      <c r="P72" s="7">
        <f>N72+O72</f>
        <v>0</v>
      </c>
      <c r="Q72" s="57"/>
      <c r="R72" s="769"/>
      <c r="S72" s="769"/>
      <c r="T72" s="262"/>
      <c r="U72" s="505"/>
      <c r="V72" s="558"/>
      <c r="W72" s="506"/>
      <c r="X72" s="507"/>
      <c r="Y72" s="553"/>
      <c r="Z72" s="182"/>
      <c r="AA72" s="182"/>
      <c r="AB72" s="182"/>
      <c r="AC72" s="182"/>
      <c r="AD72" s="182"/>
    </row>
    <row r="73" spans="1:30" s="247" customFormat="1" x14ac:dyDescent="0.25">
      <c r="A73" s="262" t="s">
        <v>1</v>
      </c>
      <c r="B73" s="75" t="s">
        <v>130</v>
      </c>
      <c r="C73" s="75" t="s">
        <v>211</v>
      </c>
      <c r="D73" s="264">
        <v>0</v>
      </c>
      <c r="E73" s="107">
        <v>0</v>
      </c>
      <c r="F73" s="108">
        <v>0</v>
      </c>
      <c r="G73" s="121">
        <v>0</v>
      </c>
      <c r="H73" s="107">
        <v>0</v>
      </c>
      <c r="I73" s="108">
        <v>0</v>
      </c>
      <c r="J73" s="121">
        <v>0</v>
      </c>
      <c r="K73" s="474">
        <f t="shared" si="24"/>
        <v>0</v>
      </c>
      <c r="L73" s="47">
        <f>$B$266*K73</f>
        <v>0</v>
      </c>
      <c r="M73" s="268"/>
      <c r="N73" s="249">
        <v>0</v>
      </c>
      <c r="O73" s="133">
        <v>0</v>
      </c>
      <c r="P73" s="249">
        <f>N73+O73</f>
        <v>0</v>
      </c>
      <c r="Q73" s="255"/>
      <c r="R73" s="767"/>
      <c r="S73" s="769"/>
      <c r="T73" s="262"/>
      <c r="U73" s="508"/>
      <c r="V73" s="531"/>
      <c r="W73" s="509"/>
      <c r="X73" s="510"/>
      <c r="Y73" s="511"/>
      <c r="Z73" s="182"/>
      <c r="AA73" s="182"/>
      <c r="AB73" s="182"/>
      <c r="AC73" s="182"/>
      <c r="AD73" s="182"/>
    </row>
    <row r="74" spans="1:30" ht="13.8" thickBot="1" x14ac:dyDescent="0.3">
      <c r="A74" s="60"/>
      <c r="B74" s="60" t="s">
        <v>54</v>
      </c>
      <c r="C74" s="60"/>
      <c r="D74" s="166"/>
      <c r="E74" s="109"/>
      <c r="F74" s="110"/>
      <c r="G74" s="122"/>
      <c r="H74" s="109"/>
      <c r="I74" s="110"/>
      <c r="J74" s="122"/>
      <c r="K74" s="50">
        <f>SUM(K72:K73)</f>
        <v>0</v>
      </c>
      <c r="L74" s="93"/>
      <c r="M74" s="193">
        <f>SUM(L72:L73)</f>
        <v>0</v>
      </c>
      <c r="N74" s="48"/>
      <c r="O74" s="48"/>
      <c r="P74" s="48"/>
      <c r="Q74" s="48">
        <f>SUM(P72:P73)</f>
        <v>0</v>
      </c>
      <c r="R74" s="185"/>
      <c r="S74" s="185"/>
      <c r="T74" s="182"/>
      <c r="U74" s="877"/>
      <c r="V74" s="878">
        <f>U74*2</f>
        <v>0</v>
      </c>
      <c r="W74" s="879">
        <f>V74*0.75</f>
        <v>0</v>
      </c>
      <c r="X74" s="880">
        <f>K74</f>
        <v>0</v>
      </c>
      <c r="Y74" s="881">
        <f>X74*W74</f>
        <v>0</v>
      </c>
      <c r="Z74" s="182"/>
      <c r="AA74" s="182"/>
      <c r="AB74" s="182"/>
      <c r="AC74" s="182"/>
      <c r="AD74" s="182"/>
    </row>
    <row r="75" spans="1:30" s="247" customFormat="1" x14ac:dyDescent="0.25">
      <c r="A75" s="56" t="s">
        <v>209</v>
      </c>
      <c r="B75" s="484" t="s">
        <v>581</v>
      </c>
      <c r="C75" s="75" t="s">
        <v>281</v>
      </c>
      <c r="D75" s="264"/>
      <c r="E75" s="107"/>
      <c r="F75" s="108"/>
      <c r="G75" s="121"/>
      <c r="H75" s="107"/>
      <c r="I75" s="108"/>
      <c r="J75" s="121"/>
      <c r="K75" s="474">
        <f t="shared" ref="K75:K77" si="25">(SUM(E75+H75)+((F75+I75)*0.6667)+(G75+J75)*0.3333)/2</f>
        <v>0</v>
      </c>
      <c r="L75" s="47">
        <f>$B$266*K75</f>
        <v>0</v>
      </c>
      <c r="M75" s="268"/>
      <c r="N75" s="249"/>
      <c r="O75" s="249"/>
      <c r="P75" s="249">
        <f>SUM(N75+O75)</f>
        <v>0</v>
      </c>
      <c r="Q75" s="255"/>
      <c r="R75" s="769"/>
      <c r="S75" s="767"/>
      <c r="T75" s="182"/>
      <c r="U75" s="523"/>
      <c r="V75" s="529"/>
      <c r="W75" s="522"/>
      <c r="X75" s="521"/>
      <c r="Y75" s="524"/>
      <c r="Z75" s="182"/>
      <c r="AA75" s="182"/>
      <c r="AB75" s="182"/>
      <c r="AC75" s="182"/>
      <c r="AD75" s="182"/>
    </row>
    <row r="76" spans="1:30" s="247" customFormat="1" x14ac:dyDescent="0.25">
      <c r="A76" s="457"/>
      <c r="B76" s="484" t="s">
        <v>598</v>
      </c>
      <c r="C76" s="75" t="s">
        <v>280</v>
      </c>
      <c r="D76" s="264"/>
      <c r="E76" s="107"/>
      <c r="F76" s="108"/>
      <c r="G76" s="121"/>
      <c r="H76" s="107"/>
      <c r="I76" s="108"/>
      <c r="J76" s="121"/>
      <c r="K76" s="474">
        <f t="shared" si="25"/>
        <v>0</v>
      </c>
      <c r="L76" s="47">
        <f>$B$266*K76</f>
        <v>0</v>
      </c>
      <c r="M76" s="268"/>
      <c r="N76" s="249"/>
      <c r="O76" s="249"/>
      <c r="P76" s="249">
        <f>SUM(N76+O76)</f>
        <v>0</v>
      </c>
      <c r="Q76" s="255"/>
      <c r="R76" s="173"/>
      <c r="S76" s="185"/>
      <c r="T76" s="182"/>
      <c r="U76" s="508"/>
      <c r="V76" s="531"/>
      <c r="W76" s="509"/>
      <c r="X76" s="510"/>
      <c r="Y76" s="512"/>
      <c r="Z76" s="182"/>
      <c r="AA76" s="182"/>
      <c r="AB76" s="182"/>
      <c r="AC76" s="182"/>
      <c r="AD76" s="182"/>
    </row>
    <row r="77" spans="1:30" ht="13.8" x14ac:dyDescent="0.3">
      <c r="A77" s="56" t="s">
        <v>1</v>
      </c>
      <c r="B77" s="75" t="s">
        <v>372</v>
      </c>
      <c r="C77" s="75" t="s">
        <v>281</v>
      </c>
      <c r="D77" s="264">
        <v>26</v>
      </c>
      <c r="E77" s="107">
        <v>18</v>
      </c>
      <c r="F77" s="108">
        <v>0</v>
      </c>
      <c r="G77" s="121">
        <v>0</v>
      </c>
      <c r="H77" s="107">
        <v>14</v>
      </c>
      <c r="I77" s="108">
        <v>1</v>
      </c>
      <c r="J77" s="121">
        <v>0</v>
      </c>
      <c r="K77" s="474">
        <f t="shared" si="25"/>
        <v>16.333349999999999</v>
      </c>
      <c r="L77" s="47">
        <f>$B$266*K77</f>
        <v>60864.120563999997</v>
      </c>
      <c r="M77" s="192"/>
      <c r="N77" s="7">
        <f>1329.6+9.6</f>
        <v>1339.2</v>
      </c>
      <c r="O77" s="7">
        <f>1732.8+96</f>
        <v>1828.8</v>
      </c>
      <c r="P77" s="488">
        <f>SUM(N77+O77)</f>
        <v>3168</v>
      </c>
      <c r="Q77" s="57"/>
      <c r="R77" s="769" t="s">
        <v>913</v>
      </c>
      <c r="S77" s="769" t="s">
        <v>867</v>
      </c>
      <c r="T77" s="182"/>
      <c r="U77" s="513"/>
      <c r="V77" s="530"/>
      <c r="W77" s="516"/>
      <c r="X77" s="515"/>
      <c r="Y77" s="514"/>
      <c r="Z77" s="182"/>
      <c r="AA77" s="182"/>
      <c r="AB77" s="182"/>
      <c r="AC77" s="182"/>
      <c r="AD77" s="182"/>
    </row>
    <row r="78" spans="1:30" x14ac:dyDescent="0.25">
      <c r="A78" s="56"/>
      <c r="B78" s="6" t="s">
        <v>35</v>
      </c>
      <c r="C78" s="6" t="s">
        <v>322</v>
      </c>
      <c r="D78" s="36">
        <v>35</v>
      </c>
      <c r="E78" s="103">
        <v>29</v>
      </c>
      <c r="F78" s="230">
        <v>3</v>
      </c>
      <c r="G78" s="119">
        <v>2</v>
      </c>
      <c r="H78" s="103">
        <v>22</v>
      </c>
      <c r="I78" s="261">
        <v>1</v>
      </c>
      <c r="J78" s="119">
        <v>0</v>
      </c>
      <c r="K78" s="491">
        <f>(SUM(E78+H78)+((F78+I78)*0.6667)+(G78+J78)*0.3333)/2</f>
        <v>27.166699999999999</v>
      </c>
      <c r="L78" s="47">
        <f>$B$266*K78</f>
        <v>101233.20103500001</v>
      </c>
      <c r="M78" s="192"/>
      <c r="N78" s="7">
        <v>575</v>
      </c>
      <c r="O78" s="7">
        <v>513</v>
      </c>
      <c r="P78" s="7">
        <f>SUM(N78+O78)</f>
        <v>1088</v>
      </c>
      <c r="Q78" s="57"/>
      <c r="R78" s="769" t="s">
        <v>914</v>
      </c>
      <c r="S78" s="769" t="s">
        <v>867</v>
      </c>
      <c r="T78" s="182"/>
      <c r="U78" s="508"/>
      <c r="V78" s="531"/>
      <c r="W78" s="509"/>
      <c r="X78" s="510"/>
      <c r="Y78" s="511"/>
      <c r="Z78" s="182"/>
      <c r="AA78" s="182"/>
      <c r="AB78" s="182"/>
      <c r="AC78" s="182"/>
      <c r="AD78" s="182"/>
    </row>
    <row r="79" spans="1:30" ht="13.8" thickBot="1" x14ac:dyDescent="0.3">
      <c r="A79" s="60"/>
      <c r="B79" s="60" t="s">
        <v>54</v>
      </c>
      <c r="C79" s="60"/>
      <c r="D79" s="166"/>
      <c r="E79" s="109"/>
      <c r="F79" s="110"/>
      <c r="G79" s="122"/>
      <c r="H79" s="109"/>
      <c r="I79" s="110"/>
      <c r="J79" s="122"/>
      <c r="K79" s="50">
        <f>SUM(K75:K78)</f>
        <v>43.500050000000002</v>
      </c>
      <c r="L79" s="93"/>
      <c r="M79" s="193">
        <f>SUM(L75:L78)</f>
        <v>162097.32159899999</v>
      </c>
      <c r="N79" s="48"/>
      <c r="O79" s="48"/>
      <c r="P79" s="48"/>
      <c r="Q79" s="48">
        <f>SUM(P75:P78)</f>
        <v>4256</v>
      </c>
      <c r="R79" s="185"/>
      <c r="S79" s="185"/>
      <c r="T79" s="182"/>
      <c r="U79" s="877">
        <v>2552.64</v>
      </c>
      <c r="V79" s="878">
        <f>U79*2</f>
        <v>5105.28</v>
      </c>
      <c r="W79" s="879">
        <f>V79*0.75</f>
        <v>3828.96</v>
      </c>
      <c r="X79" s="880">
        <f>K79</f>
        <v>43.500050000000002</v>
      </c>
      <c r="Y79" s="881">
        <f>X79*W79</f>
        <v>166559.95000000001</v>
      </c>
      <c r="Z79" s="182"/>
      <c r="AA79" s="182"/>
      <c r="AB79" s="182"/>
      <c r="AC79" s="182"/>
      <c r="AD79" s="182"/>
    </row>
    <row r="80" spans="1:30" x14ac:dyDescent="0.25">
      <c r="A80" s="457" t="s">
        <v>502</v>
      </c>
      <c r="B80" s="484" t="s">
        <v>421</v>
      </c>
      <c r="C80" s="75" t="s">
        <v>281</v>
      </c>
      <c r="D80" s="264"/>
      <c r="E80" s="107">
        <v>6</v>
      </c>
      <c r="F80" s="108">
        <v>0</v>
      </c>
      <c r="G80" s="121">
        <v>1</v>
      </c>
      <c r="H80" s="107">
        <v>6</v>
      </c>
      <c r="I80" s="108">
        <v>1</v>
      </c>
      <c r="J80" s="121">
        <v>1</v>
      </c>
      <c r="K80" s="474">
        <f t="shared" ref="K80:K81" si="26">(SUM(E80+H80)+((F80+I80)*0.6667)+(G80+J80)*0.3333)/2</f>
        <v>6.6666499999999997</v>
      </c>
      <c r="L80" s="47">
        <f>$B$266*K80</f>
        <v>24842.410734000001</v>
      </c>
      <c r="M80" s="192"/>
      <c r="N80" s="7">
        <v>1036.8</v>
      </c>
      <c r="O80" s="782">
        <v>2160</v>
      </c>
      <c r="P80" s="782">
        <f>SUM(N80+O80)</f>
        <v>3196.8</v>
      </c>
      <c r="Q80" s="57"/>
      <c r="R80" s="767" t="s">
        <v>867</v>
      </c>
      <c r="S80" s="26" t="s">
        <v>867</v>
      </c>
      <c r="T80" s="33" t="s">
        <v>1</v>
      </c>
      <c r="U80" s="505"/>
      <c r="V80" s="558"/>
      <c r="W80" s="506"/>
      <c r="X80" s="507"/>
      <c r="Y80" s="553"/>
      <c r="Z80" s="182"/>
      <c r="AA80" s="182"/>
      <c r="AB80" s="182"/>
      <c r="AC80" s="182"/>
      <c r="AD80" s="182"/>
    </row>
    <row r="81" spans="1:30" s="864" customFormat="1" x14ac:dyDescent="0.25">
      <c r="A81" s="56"/>
      <c r="B81" s="484" t="s">
        <v>829</v>
      </c>
      <c r="C81" s="75" t="s">
        <v>403</v>
      </c>
      <c r="D81" s="264"/>
      <c r="E81" s="107"/>
      <c r="F81" s="108"/>
      <c r="G81" s="121"/>
      <c r="H81" s="107"/>
      <c r="I81" s="108"/>
      <c r="J81" s="121"/>
      <c r="K81" s="474">
        <f t="shared" si="26"/>
        <v>0</v>
      </c>
      <c r="L81" s="47">
        <f>$B$266*K81</f>
        <v>0</v>
      </c>
      <c r="M81" s="268"/>
      <c r="N81" s="488"/>
      <c r="O81" s="782"/>
      <c r="P81" s="782">
        <f>SUM(N81+O81)</f>
        <v>0</v>
      </c>
      <c r="Q81" s="255"/>
      <c r="R81" s="767"/>
      <c r="S81" s="769"/>
      <c r="T81" s="784"/>
      <c r="U81" s="508"/>
      <c r="V81" s="531"/>
      <c r="W81" s="509"/>
      <c r="X81" s="510"/>
      <c r="Y81" s="511"/>
      <c r="Z81" s="784"/>
      <c r="AA81" s="784"/>
      <c r="AB81" s="784"/>
      <c r="AC81" s="784"/>
      <c r="AD81" s="784"/>
    </row>
    <row r="82" spans="1:30" s="864" customFormat="1" x14ac:dyDescent="0.25">
      <c r="A82" s="951" t="s">
        <v>1</v>
      </c>
      <c r="B82" s="866" t="s">
        <v>35</v>
      </c>
      <c r="C82" s="866" t="s">
        <v>322</v>
      </c>
      <c r="D82" s="265"/>
      <c r="E82" s="174">
        <v>2</v>
      </c>
      <c r="F82" s="175">
        <v>0</v>
      </c>
      <c r="G82" s="176">
        <v>0</v>
      </c>
      <c r="H82" s="174">
        <v>2</v>
      </c>
      <c r="I82" s="175">
        <v>0</v>
      </c>
      <c r="J82" s="176">
        <v>0</v>
      </c>
      <c r="K82" s="936">
        <f t="shared" ref="K82" si="27">(SUM(E82+H82)+((F82+I82)*0.6667)+(G82+J82)*0.3333)/2</f>
        <v>2</v>
      </c>
      <c r="L82" s="47">
        <f>$B$266*K82</f>
        <v>7452.7418520000001</v>
      </c>
      <c r="M82" s="268"/>
      <c r="N82" s="488">
        <v>292.8</v>
      </c>
      <c r="O82" s="782">
        <v>427.2</v>
      </c>
      <c r="P82" s="782">
        <f>SUM(N82+O82)</f>
        <v>720</v>
      </c>
      <c r="Q82" s="255"/>
      <c r="R82" s="767" t="s">
        <v>867</v>
      </c>
      <c r="S82" s="767" t="s">
        <v>867</v>
      </c>
      <c r="T82" s="785" t="s">
        <v>1</v>
      </c>
      <c r="U82" s="508"/>
      <c r="V82" s="531"/>
      <c r="W82" s="509"/>
      <c r="X82" s="510"/>
      <c r="Y82" s="511"/>
      <c r="Z82" s="784"/>
      <c r="AA82" s="784"/>
      <c r="AB82" s="784"/>
      <c r="AC82" s="784"/>
      <c r="AD82" s="784"/>
    </row>
    <row r="83" spans="1:30" ht="13.8" thickBot="1" x14ac:dyDescent="0.3">
      <c r="A83" s="60"/>
      <c r="B83" s="60" t="s">
        <v>54</v>
      </c>
      <c r="C83" s="60"/>
      <c r="D83" s="166"/>
      <c r="E83" s="109"/>
      <c r="F83" s="110"/>
      <c r="G83" s="122"/>
      <c r="H83" s="109"/>
      <c r="I83" s="110"/>
      <c r="J83" s="122"/>
      <c r="K83" s="50">
        <f>SUM(K80:K82)</f>
        <v>8.6666500000000006</v>
      </c>
      <c r="L83" s="93"/>
      <c r="M83" s="193">
        <f>SUM(L80:L82)</f>
        <v>32295.152586</v>
      </c>
      <c r="N83" s="48"/>
      <c r="O83" s="48"/>
      <c r="P83" s="48"/>
      <c r="Q83" s="48">
        <f>SUM(P80:P82)</f>
        <v>3916.8</v>
      </c>
      <c r="R83" s="185"/>
      <c r="S83" s="185"/>
      <c r="T83" s="182"/>
      <c r="U83" s="877">
        <v>1930.6</v>
      </c>
      <c r="V83" s="878">
        <f>U83*2</f>
        <v>3861.2</v>
      </c>
      <c r="W83" s="879">
        <f>V83*0.75</f>
        <v>2895.9</v>
      </c>
      <c r="X83" s="880">
        <f>K83</f>
        <v>8.6666500000000006</v>
      </c>
      <c r="Y83" s="881">
        <f>X83*W83</f>
        <v>25097.75</v>
      </c>
      <c r="Z83" s="182"/>
      <c r="AA83" s="182"/>
      <c r="AB83" s="182"/>
      <c r="AC83" s="182"/>
      <c r="AD83" s="182"/>
    </row>
    <row r="84" spans="1:30" x14ac:dyDescent="0.25">
      <c r="A84" s="457" t="s">
        <v>210</v>
      </c>
      <c r="B84" s="6" t="s">
        <v>379</v>
      </c>
      <c r="C84" s="6" t="s">
        <v>284</v>
      </c>
      <c r="D84" s="36">
        <v>16</v>
      </c>
      <c r="E84" s="103">
        <v>14</v>
      </c>
      <c r="F84" s="230">
        <v>0</v>
      </c>
      <c r="G84" s="119">
        <v>0</v>
      </c>
      <c r="H84" s="103">
        <v>15</v>
      </c>
      <c r="I84" s="261">
        <v>0</v>
      </c>
      <c r="J84" s="119">
        <v>0</v>
      </c>
      <c r="K84" s="491">
        <f t="shared" ref="K84:K88" si="28">(SUM(E84+H84)+((F84+I84)*0.6667)+(G84+J84)*0.3333)/2</f>
        <v>14.5</v>
      </c>
      <c r="L84" s="47">
        <f t="shared" ref="L84:L89" si="29">$B$266*K84</f>
        <v>54032.378427000003</v>
      </c>
      <c r="M84" s="192"/>
      <c r="N84" s="7">
        <v>1947.4</v>
      </c>
      <c r="O84" s="7">
        <v>3234.4</v>
      </c>
      <c r="P84" s="7">
        <f>N84+O84</f>
        <v>5181.8</v>
      </c>
      <c r="Q84" s="57"/>
      <c r="R84" s="767" t="s">
        <v>867</v>
      </c>
      <c r="S84" s="185" t="s">
        <v>867</v>
      </c>
      <c r="T84" s="182"/>
      <c r="U84" s="508"/>
      <c r="V84" s="531"/>
      <c r="W84" s="509"/>
      <c r="X84" s="510"/>
      <c r="Y84" s="512"/>
      <c r="Z84" s="182"/>
      <c r="AA84" s="182"/>
      <c r="AB84" s="182"/>
      <c r="AC84" s="182"/>
      <c r="AD84" s="182"/>
    </row>
    <row r="85" spans="1:30" x14ac:dyDescent="0.25">
      <c r="A85" s="56"/>
      <c r="B85" s="6" t="s">
        <v>378</v>
      </c>
      <c r="C85" s="6" t="s">
        <v>285</v>
      </c>
      <c r="D85" s="36">
        <v>85</v>
      </c>
      <c r="E85" s="103">
        <v>81</v>
      </c>
      <c r="F85" s="230">
        <v>3</v>
      </c>
      <c r="G85" s="119">
        <v>0</v>
      </c>
      <c r="H85" s="103">
        <v>80</v>
      </c>
      <c r="I85" s="261">
        <v>1</v>
      </c>
      <c r="J85" s="119">
        <v>0</v>
      </c>
      <c r="K85" s="491">
        <f t="shared" si="28"/>
        <v>81.833399999999997</v>
      </c>
      <c r="L85" s="47">
        <f t="shared" si="29"/>
        <v>304941.60253600002</v>
      </c>
      <c r="M85" s="192"/>
      <c r="N85" s="7">
        <v>3792.8</v>
      </c>
      <c r="O85" s="7">
        <v>5488</v>
      </c>
      <c r="P85" s="7">
        <f>SUM(N85+O85)</f>
        <v>9280.7999999999993</v>
      </c>
      <c r="Q85" s="57" t="s">
        <v>1</v>
      </c>
      <c r="R85" s="769" t="s">
        <v>867</v>
      </c>
      <c r="S85" s="185" t="s">
        <v>867</v>
      </c>
      <c r="T85" s="182"/>
      <c r="U85" s="513"/>
      <c r="V85" s="530"/>
      <c r="W85" s="516" t="s">
        <v>1</v>
      </c>
      <c r="X85" s="515" t="s">
        <v>1</v>
      </c>
      <c r="Y85" s="514" t="s">
        <v>1</v>
      </c>
      <c r="Z85" s="182"/>
      <c r="AA85" s="182"/>
      <c r="AB85" s="182"/>
      <c r="AC85" s="182"/>
      <c r="AD85" s="182"/>
    </row>
    <row r="86" spans="1:30" x14ac:dyDescent="0.25">
      <c r="A86" s="56"/>
      <c r="B86" s="6" t="s">
        <v>377</v>
      </c>
      <c r="C86" s="6" t="s">
        <v>373</v>
      </c>
      <c r="D86" s="36">
        <v>35</v>
      </c>
      <c r="E86" s="103">
        <v>33</v>
      </c>
      <c r="F86" s="230">
        <v>0</v>
      </c>
      <c r="G86" s="119">
        <v>0</v>
      </c>
      <c r="H86" s="103">
        <v>30</v>
      </c>
      <c r="I86" s="261">
        <v>0</v>
      </c>
      <c r="J86" s="119">
        <v>0</v>
      </c>
      <c r="K86" s="491">
        <f t="shared" si="28"/>
        <v>31.5</v>
      </c>
      <c r="L86" s="47">
        <f t="shared" si="29"/>
        <v>117380.684169</v>
      </c>
      <c r="M86" s="192"/>
      <c r="N86" s="7">
        <v>3620.1</v>
      </c>
      <c r="O86" s="7">
        <v>5230.5</v>
      </c>
      <c r="P86" s="249">
        <f>SUM(N86+O86)</f>
        <v>8850.6</v>
      </c>
      <c r="Q86" s="57"/>
      <c r="R86" s="185" t="s">
        <v>867</v>
      </c>
      <c r="S86" s="769" t="s">
        <v>867</v>
      </c>
      <c r="T86" s="182"/>
      <c r="U86" s="508"/>
      <c r="V86" s="531"/>
      <c r="W86" s="509"/>
      <c r="X86" s="510"/>
      <c r="Y86" s="511"/>
      <c r="Z86" s="182"/>
      <c r="AA86" s="182"/>
      <c r="AB86" s="182"/>
      <c r="AC86" s="182"/>
      <c r="AD86" s="182"/>
    </row>
    <row r="87" spans="1:30" s="487" customFormat="1" x14ac:dyDescent="0.25">
      <c r="A87" s="56"/>
      <c r="B87" s="248" t="s">
        <v>411</v>
      </c>
      <c r="C87" s="248" t="s">
        <v>410</v>
      </c>
      <c r="D87" s="490">
        <v>18</v>
      </c>
      <c r="E87" s="103">
        <v>14</v>
      </c>
      <c r="F87" s="230">
        <v>1</v>
      </c>
      <c r="G87" s="119">
        <v>0</v>
      </c>
      <c r="H87" s="103">
        <v>13</v>
      </c>
      <c r="I87" s="261">
        <v>1</v>
      </c>
      <c r="J87" s="119">
        <v>0</v>
      </c>
      <c r="K87" s="491">
        <f t="shared" si="28"/>
        <v>14.166700000000001</v>
      </c>
      <c r="L87" s="47">
        <f t="shared" si="29"/>
        <v>52790.378997</v>
      </c>
      <c r="M87" s="268"/>
      <c r="N87" s="488">
        <v>2386.8000000000002</v>
      </c>
      <c r="O87" s="488">
        <v>3164.4</v>
      </c>
      <c r="P87" s="488">
        <f>SUM(N87+O87)</f>
        <v>5551.2</v>
      </c>
      <c r="Q87" s="255"/>
      <c r="R87" s="185" t="s">
        <v>867</v>
      </c>
      <c r="S87" s="173" t="s">
        <v>867</v>
      </c>
      <c r="T87" s="182"/>
      <c r="U87" s="508"/>
      <c r="V87" s="531"/>
      <c r="W87" s="509"/>
      <c r="X87" s="510"/>
      <c r="Y87" s="511"/>
      <c r="Z87" s="182"/>
      <c r="AA87" s="182"/>
      <c r="AB87" s="182"/>
      <c r="AC87" s="182"/>
      <c r="AD87" s="182"/>
    </row>
    <row r="88" spans="1:30" x14ac:dyDescent="0.25">
      <c r="A88" s="56"/>
      <c r="B88" s="6" t="s">
        <v>626</v>
      </c>
      <c r="C88" s="6" t="s">
        <v>374</v>
      </c>
      <c r="D88" s="36">
        <v>59</v>
      </c>
      <c r="E88" s="103">
        <v>54</v>
      </c>
      <c r="F88" s="230">
        <v>0</v>
      </c>
      <c r="G88" s="119">
        <v>1</v>
      </c>
      <c r="H88" s="103">
        <v>47</v>
      </c>
      <c r="I88" s="261">
        <v>3</v>
      </c>
      <c r="J88" s="119">
        <v>2</v>
      </c>
      <c r="K88" s="491">
        <f t="shared" si="28"/>
        <v>52</v>
      </c>
      <c r="L88" s="47">
        <f t="shared" si="29"/>
        <v>193771.28815199999</v>
      </c>
      <c r="M88" s="192"/>
      <c r="N88" s="133">
        <v>3779.3</v>
      </c>
      <c r="O88" s="7">
        <v>6035.4</v>
      </c>
      <c r="P88" s="7">
        <f>SUM(N88+O88)</f>
        <v>9814.7000000000007</v>
      </c>
      <c r="Q88" s="57"/>
      <c r="R88" s="185" t="s">
        <v>867</v>
      </c>
      <c r="S88" s="185" t="s">
        <v>867</v>
      </c>
      <c r="T88" s="182"/>
      <c r="U88" s="508"/>
      <c r="V88" s="531"/>
      <c r="W88" s="509"/>
      <c r="X88" s="510"/>
      <c r="Y88" s="511"/>
      <c r="Z88" s="182"/>
      <c r="AA88" s="182"/>
      <c r="AB88" s="182"/>
      <c r="AC88" s="182"/>
      <c r="AD88" s="182"/>
    </row>
    <row r="89" spans="1:30" x14ac:dyDescent="0.25">
      <c r="A89" s="56"/>
      <c r="B89" s="75" t="s">
        <v>375</v>
      </c>
      <c r="C89" s="75" t="s">
        <v>217</v>
      </c>
      <c r="D89" s="165">
        <v>51</v>
      </c>
      <c r="E89" s="111">
        <v>47</v>
      </c>
      <c r="F89" s="112">
        <v>1</v>
      </c>
      <c r="G89" s="123">
        <v>2</v>
      </c>
      <c r="H89" s="111">
        <v>42</v>
      </c>
      <c r="I89" s="112">
        <v>1</v>
      </c>
      <c r="J89" s="123">
        <v>0</v>
      </c>
      <c r="K89" s="474">
        <f>(SUM(E89+H89)+((F89+I89)*0.6667)+(G89+J89)*0.3333)/2</f>
        <v>45.5</v>
      </c>
      <c r="L89" s="47">
        <f t="shared" si="29"/>
        <v>169549.877133</v>
      </c>
      <c r="M89" s="192"/>
      <c r="N89" s="7">
        <v>6204</v>
      </c>
      <c r="O89" s="7">
        <v>9685</v>
      </c>
      <c r="P89" s="7">
        <f>SUM(N89+O89)</f>
        <v>15889</v>
      </c>
      <c r="Q89" s="57"/>
      <c r="R89" s="185" t="s">
        <v>867</v>
      </c>
      <c r="S89" s="767" t="s">
        <v>867</v>
      </c>
      <c r="T89" s="182"/>
      <c r="U89" s="508"/>
      <c r="V89" s="531"/>
      <c r="W89" s="509"/>
      <c r="X89" s="510"/>
      <c r="Y89" s="511"/>
      <c r="Z89" s="182"/>
      <c r="AA89" s="182"/>
      <c r="AB89" s="182"/>
      <c r="AC89" s="182"/>
      <c r="AD89" s="182"/>
    </row>
    <row r="90" spans="1:30" ht="13.8" thickBot="1" x14ac:dyDescent="0.3">
      <c r="A90" s="60"/>
      <c r="B90" s="60" t="s">
        <v>54</v>
      </c>
      <c r="C90" s="60"/>
      <c r="D90" s="166"/>
      <c r="E90" s="109"/>
      <c r="F90" s="110"/>
      <c r="G90" s="122"/>
      <c r="H90" s="109"/>
      <c r="I90" s="110"/>
      <c r="J90" s="122"/>
      <c r="K90" s="50">
        <f>SUM(K84:K89)</f>
        <v>239.5001</v>
      </c>
      <c r="L90" s="93"/>
      <c r="M90" s="196">
        <f>SUM(L84:L89)</f>
        <v>892466.20941400004</v>
      </c>
      <c r="N90" s="48"/>
      <c r="O90" s="48"/>
      <c r="P90" s="48"/>
      <c r="Q90" s="48">
        <f>SUM(P84:P89)</f>
        <v>54568.1</v>
      </c>
      <c r="R90" s="185"/>
      <c r="S90" s="185"/>
      <c r="T90" s="182"/>
      <c r="U90" s="877">
        <v>3772.38</v>
      </c>
      <c r="V90" s="878">
        <f>U90*2</f>
        <v>7544.76</v>
      </c>
      <c r="W90" s="879">
        <f>V90*0.75</f>
        <v>5658.57</v>
      </c>
      <c r="X90" s="880">
        <f>K90</f>
        <v>239.5001</v>
      </c>
      <c r="Y90" s="881">
        <f>X90*W90</f>
        <v>1355228.08</v>
      </c>
      <c r="Z90" s="182"/>
      <c r="AA90" s="182"/>
      <c r="AB90" s="182"/>
      <c r="AC90" s="182"/>
      <c r="AD90" s="182"/>
    </row>
    <row r="91" spans="1:30" x14ac:dyDescent="0.25">
      <c r="A91" s="457" t="s">
        <v>309</v>
      </c>
      <c r="B91" s="6" t="s">
        <v>149</v>
      </c>
      <c r="C91" s="6" t="s">
        <v>287</v>
      </c>
      <c r="E91" s="103"/>
      <c r="F91" s="230"/>
      <c r="G91" s="119"/>
      <c r="H91" s="103"/>
      <c r="I91" s="261"/>
      <c r="J91" s="119"/>
      <c r="K91" s="491">
        <f t="shared" ref="K91:K94" si="30">(SUM(E91+H91)+((F91+I91)*0.6667)+(G91+J91)*0.3333)/2</f>
        <v>0</v>
      </c>
      <c r="L91" s="47">
        <f>$B$266*K91</f>
        <v>0</v>
      </c>
      <c r="M91" s="192"/>
      <c r="N91" s="7"/>
      <c r="O91" s="7"/>
      <c r="P91" s="7">
        <f>SUM(N91+O91)</f>
        <v>0</v>
      </c>
      <c r="Q91" s="57"/>
      <c r="R91" s="185"/>
      <c r="S91" s="769"/>
      <c r="T91" s="182"/>
      <c r="U91" s="505"/>
      <c r="V91" s="558"/>
      <c r="W91" s="506"/>
      <c r="X91" s="507"/>
      <c r="Y91" s="559"/>
      <c r="Z91" s="182"/>
      <c r="AA91" s="182"/>
      <c r="AB91" s="182"/>
      <c r="AC91" s="182"/>
      <c r="AD91" s="182"/>
    </row>
    <row r="92" spans="1:30" x14ac:dyDescent="0.25">
      <c r="A92" s="262" t="s">
        <v>1</v>
      </c>
      <c r="B92" s="6" t="s">
        <v>384</v>
      </c>
      <c r="C92" s="6" t="s">
        <v>288</v>
      </c>
      <c r="D92" s="36">
        <v>39</v>
      </c>
      <c r="E92" s="103">
        <v>38</v>
      </c>
      <c r="F92" s="230">
        <v>0</v>
      </c>
      <c r="G92" s="119">
        <v>0</v>
      </c>
      <c r="H92" s="103">
        <v>36</v>
      </c>
      <c r="I92" s="261">
        <v>0</v>
      </c>
      <c r="J92" s="119">
        <v>0</v>
      </c>
      <c r="K92" s="491">
        <f t="shared" si="30"/>
        <v>37</v>
      </c>
      <c r="L92" s="47">
        <f>$B$266*K92</f>
        <v>137875.724262</v>
      </c>
      <c r="M92" s="192"/>
      <c r="N92" s="133">
        <v>5816.8</v>
      </c>
      <c r="O92" s="7">
        <v>7119.2</v>
      </c>
      <c r="P92" s="7">
        <f>SUM(N92+O92)</f>
        <v>12936</v>
      </c>
      <c r="Q92" s="57"/>
      <c r="R92" s="769" t="s">
        <v>867</v>
      </c>
      <c r="S92" s="769" t="s">
        <v>867</v>
      </c>
      <c r="T92" s="182"/>
      <c r="U92" s="513"/>
      <c r="V92" s="530"/>
      <c r="W92" s="516" t="s">
        <v>1</v>
      </c>
      <c r="X92" s="515" t="s">
        <v>1</v>
      </c>
      <c r="Y92" s="514" t="s">
        <v>1</v>
      </c>
      <c r="Z92" s="182"/>
      <c r="AA92" s="182"/>
      <c r="AB92" s="182"/>
      <c r="AC92" s="182"/>
      <c r="AD92" s="182"/>
    </row>
    <row r="93" spans="1:30" x14ac:dyDescent="0.25">
      <c r="A93" s="262" t="s">
        <v>1</v>
      </c>
      <c r="B93" s="6" t="s">
        <v>383</v>
      </c>
      <c r="C93" s="6" t="s">
        <v>380</v>
      </c>
      <c r="D93" s="36">
        <v>8</v>
      </c>
      <c r="E93" s="103">
        <v>6</v>
      </c>
      <c r="F93" s="230">
        <v>0</v>
      </c>
      <c r="G93" s="119">
        <v>1</v>
      </c>
      <c r="H93" s="103">
        <v>6</v>
      </c>
      <c r="I93" s="261">
        <v>0</v>
      </c>
      <c r="J93" s="119">
        <v>0</v>
      </c>
      <c r="K93" s="491">
        <f t="shared" si="30"/>
        <v>6.1666499999999997</v>
      </c>
      <c r="L93" s="47">
        <f>$B$266*K93</f>
        <v>22979.225270999999</v>
      </c>
      <c r="M93" s="192"/>
      <c r="N93" s="7">
        <v>2134.4</v>
      </c>
      <c r="O93" s="7">
        <v>2424.4</v>
      </c>
      <c r="P93" s="7">
        <f>SUM(N93+O93)</f>
        <v>4558.8</v>
      </c>
      <c r="Q93" s="57"/>
      <c r="R93" s="185" t="s">
        <v>867</v>
      </c>
      <c r="S93" s="767" t="s">
        <v>867</v>
      </c>
      <c r="T93" s="182"/>
      <c r="U93" s="508"/>
      <c r="V93" s="531"/>
      <c r="W93" s="509"/>
      <c r="X93" s="510"/>
      <c r="Y93" s="511"/>
      <c r="Z93" s="182"/>
      <c r="AA93" s="182"/>
      <c r="AB93" s="182"/>
      <c r="AC93" s="182"/>
      <c r="AD93" s="182"/>
    </row>
    <row r="94" spans="1:30" x14ac:dyDescent="0.25">
      <c r="A94" s="262" t="s">
        <v>1</v>
      </c>
      <c r="B94" s="6" t="s">
        <v>382</v>
      </c>
      <c r="C94" s="6" t="s">
        <v>288</v>
      </c>
      <c r="D94" s="36">
        <v>20</v>
      </c>
      <c r="E94" s="103">
        <v>15</v>
      </c>
      <c r="F94" s="230">
        <v>0</v>
      </c>
      <c r="G94" s="119">
        <v>3</v>
      </c>
      <c r="H94" s="103">
        <v>11</v>
      </c>
      <c r="I94" s="261">
        <v>4</v>
      </c>
      <c r="J94" s="119">
        <v>0</v>
      </c>
      <c r="K94" s="491">
        <f t="shared" si="30"/>
        <v>14.833349999999999</v>
      </c>
      <c r="L94" s="47">
        <f>$B$266*K94</f>
        <v>55274.564175</v>
      </c>
      <c r="M94" s="192">
        <v>2463.5</v>
      </c>
      <c r="N94" s="133">
        <v>2563.5</v>
      </c>
      <c r="O94" s="7">
        <f>2392.5</f>
        <v>2392.5</v>
      </c>
      <c r="P94" s="7">
        <f>SUM(N94+O94)</f>
        <v>4956</v>
      </c>
      <c r="Q94" s="57"/>
      <c r="R94" s="767" t="s">
        <v>867</v>
      </c>
      <c r="S94" s="769" t="s">
        <v>867</v>
      </c>
      <c r="T94" s="182"/>
      <c r="U94" s="508"/>
      <c r="V94" s="531"/>
      <c r="W94" s="509"/>
      <c r="X94" s="510"/>
      <c r="Y94" s="511"/>
      <c r="Z94" s="182"/>
      <c r="AA94" s="182"/>
      <c r="AB94" s="182"/>
      <c r="AC94" s="182"/>
      <c r="AD94" s="182"/>
    </row>
    <row r="95" spans="1:30" x14ac:dyDescent="0.25">
      <c r="A95" s="262" t="s">
        <v>1</v>
      </c>
      <c r="B95" s="75" t="s">
        <v>381</v>
      </c>
      <c r="C95" s="75" t="s">
        <v>296</v>
      </c>
      <c r="D95" s="165">
        <v>21</v>
      </c>
      <c r="E95" s="107">
        <v>19</v>
      </c>
      <c r="F95" s="108">
        <v>1</v>
      </c>
      <c r="G95" s="121">
        <v>0</v>
      </c>
      <c r="H95" s="107">
        <v>17</v>
      </c>
      <c r="I95" s="108">
        <v>0</v>
      </c>
      <c r="J95" s="121">
        <v>0</v>
      </c>
      <c r="K95" s="474">
        <f>(SUM(E95+H95)+((F95+I95)*0.6667)+(G95+J95)*0.3333)/2</f>
        <v>18.333349999999999</v>
      </c>
      <c r="L95" s="47">
        <f>$B$266*K95</f>
        <v>68316.862416000004</v>
      </c>
      <c r="M95" s="192"/>
      <c r="N95" s="7">
        <v>4993.8</v>
      </c>
      <c r="O95" s="7">
        <v>5574.8</v>
      </c>
      <c r="P95" s="7">
        <f>SUM(N95+O95)</f>
        <v>10568.6</v>
      </c>
      <c r="Q95" s="57"/>
      <c r="R95" s="769" t="s">
        <v>867</v>
      </c>
      <c r="S95" s="185" t="s">
        <v>867</v>
      </c>
      <c r="T95" s="182"/>
      <c r="U95" s="508"/>
      <c r="V95" s="531"/>
      <c r="W95" s="509"/>
      <c r="X95" s="510"/>
      <c r="Y95" s="511"/>
      <c r="Z95" s="182"/>
      <c r="AA95" s="182"/>
      <c r="AB95" s="182"/>
      <c r="AC95" s="182"/>
      <c r="AD95" s="182"/>
    </row>
    <row r="96" spans="1:30" ht="13.8" thickBot="1" x14ac:dyDescent="0.3">
      <c r="A96" s="60"/>
      <c r="B96" s="60" t="s">
        <v>308</v>
      </c>
      <c r="C96" s="60"/>
      <c r="D96" s="166"/>
      <c r="E96" s="109"/>
      <c r="F96" s="110"/>
      <c r="G96" s="122"/>
      <c r="H96" s="109"/>
      <c r="I96" s="110"/>
      <c r="J96" s="122"/>
      <c r="K96" s="50">
        <f>SUM(K91:K95)</f>
        <v>76.333349999999996</v>
      </c>
      <c r="L96" s="93"/>
      <c r="M96" s="196">
        <f>SUM(L91:L95)</f>
        <v>284446.376124</v>
      </c>
      <c r="N96" s="48"/>
      <c r="O96" s="48"/>
      <c r="P96" s="48"/>
      <c r="Q96" s="48">
        <f>SUM(P91:P95)</f>
        <v>33019.4</v>
      </c>
      <c r="R96" s="185"/>
      <c r="S96" s="185"/>
      <c r="T96" s="182"/>
      <c r="U96" s="877">
        <v>2865.94</v>
      </c>
      <c r="V96" s="878">
        <f>U96*2</f>
        <v>5731.88</v>
      </c>
      <c r="W96" s="879">
        <f>V96*0.75</f>
        <v>4298.91</v>
      </c>
      <c r="X96" s="880">
        <f>K96</f>
        <v>76.333349999999996</v>
      </c>
      <c r="Y96" s="881">
        <f>X96*W96</f>
        <v>328150.2</v>
      </c>
      <c r="Z96" s="182"/>
      <c r="AA96" s="182"/>
      <c r="AB96" s="182"/>
      <c r="AC96" s="182"/>
      <c r="AD96" s="182"/>
    </row>
    <row r="97" spans="1:30" x14ac:dyDescent="0.25">
      <c r="A97" s="457" t="s">
        <v>310</v>
      </c>
      <c r="B97" s="6" t="s">
        <v>389</v>
      </c>
      <c r="C97" s="6" t="s">
        <v>289</v>
      </c>
      <c r="D97" s="36">
        <v>63</v>
      </c>
      <c r="E97" s="103">
        <v>63</v>
      </c>
      <c r="F97" s="230">
        <v>0</v>
      </c>
      <c r="G97" s="119">
        <v>1</v>
      </c>
      <c r="H97" s="103">
        <v>56</v>
      </c>
      <c r="I97" s="261">
        <v>2</v>
      </c>
      <c r="J97" s="119">
        <v>3</v>
      </c>
      <c r="K97" s="491">
        <f t="shared" ref="K97:K98" si="31">(SUM(E97+H97)+((F97+I97)*0.6667)+(G97+J97)*0.3333)/2</f>
        <v>60.833300000000001</v>
      </c>
      <c r="L97" s="47">
        <f t="shared" ref="L97:L108" si="32">$B$266*K97</f>
        <v>226687.44045299999</v>
      </c>
      <c r="M97" s="192"/>
      <c r="N97" s="7">
        <v>7962</v>
      </c>
      <c r="O97" s="782">
        <v>8179.8</v>
      </c>
      <c r="P97" s="7">
        <f t="shared" ref="P97:P108" si="33">SUM(N97+O97)</f>
        <v>16141.8</v>
      </c>
      <c r="Q97" s="57"/>
      <c r="R97" s="767" t="s">
        <v>867</v>
      </c>
      <c r="S97" s="767" t="s">
        <v>867</v>
      </c>
      <c r="T97" s="262"/>
      <c r="U97" s="508"/>
      <c r="V97" s="531"/>
      <c r="W97" s="509"/>
      <c r="X97" s="510"/>
      <c r="Y97" s="511"/>
      <c r="Z97" s="182"/>
      <c r="AA97" s="182"/>
      <c r="AB97" s="182"/>
      <c r="AC97" s="182"/>
      <c r="AD97" s="182"/>
    </row>
    <row r="98" spans="1:30" s="247" customFormat="1" x14ac:dyDescent="0.25">
      <c r="A98" s="457"/>
      <c r="B98" s="248" t="s">
        <v>364</v>
      </c>
      <c r="C98" s="248" t="s">
        <v>599</v>
      </c>
      <c r="D98" s="252"/>
      <c r="E98" s="103"/>
      <c r="F98" s="230"/>
      <c r="G98" s="119"/>
      <c r="H98" s="103"/>
      <c r="I98" s="261"/>
      <c r="J98" s="119"/>
      <c r="K98" s="491">
        <f t="shared" si="31"/>
        <v>0</v>
      </c>
      <c r="L98" s="47">
        <f t="shared" si="32"/>
        <v>0</v>
      </c>
      <c r="M98" s="268"/>
      <c r="N98" s="249"/>
      <c r="O98" s="249"/>
      <c r="P98" s="249">
        <f>SUM(N98+O98)</f>
        <v>0</v>
      </c>
      <c r="Q98" s="255"/>
      <c r="R98" s="185"/>
      <c r="S98" s="185"/>
      <c r="T98" s="262"/>
      <c r="U98" s="508"/>
      <c r="V98" s="531"/>
      <c r="W98" s="509"/>
      <c r="X98" s="510"/>
      <c r="Y98" s="512"/>
      <c r="Z98" s="182"/>
      <c r="AA98" s="182"/>
      <c r="AB98" s="182"/>
      <c r="AC98" s="182"/>
      <c r="AD98" s="182"/>
    </row>
    <row r="99" spans="1:30" s="864" customFormat="1" x14ac:dyDescent="0.25">
      <c r="A99" s="951" t="s">
        <v>1</v>
      </c>
      <c r="B99" s="866" t="s">
        <v>16</v>
      </c>
      <c r="C99" s="866" t="s">
        <v>259</v>
      </c>
      <c r="D99" s="490"/>
      <c r="E99" s="103">
        <v>2</v>
      </c>
      <c r="F99" s="230">
        <v>0</v>
      </c>
      <c r="G99" s="119">
        <v>0</v>
      </c>
      <c r="H99" s="103">
        <v>2</v>
      </c>
      <c r="I99" s="261">
        <v>0</v>
      </c>
      <c r="J99" s="119">
        <v>0</v>
      </c>
      <c r="K99" s="491">
        <f t="shared" ref="K99" si="34">(SUM(E99+H99)+((F99+I99)*0.6667)+(G99+J99)*0.3333)/2</f>
        <v>2</v>
      </c>
      <c r="L99" s="47">
        <f t="shared" si="32"/>
        <v>7452.7418520000001</v>
      </c>
      <c r="M99" s="268"/>
      <c r="N99" s="488">
        <v>1240</v>
      </c>
      <c r="O99" s="488">
        <v>1620</v>
      </c>
      <c r="P99" s="488">
        <f>SUM(N99+O99)</f>
        <v>2860</v>
      </c>
      <c r="Q99" s="255"/>
      <c r="R99" s="767" t="s">
        <v>867</v>
      </c>
      <c r="S99" s="767" t="s">
        <v>867</v>
      </c>
      <c r="T99" s="262" t="s">
        <v>1</v>
      </c>
      <c r="U99" s="508"/>
      <c r="V99" s="531"/>
      <c r="W99" s="509"/>
      <c r="X99" s="510"/>
      <c r="Y99" s="512"/>
      <c r="Z99" s="784"/>
      <c r="AA99" s="784"/>
      <c r="AB99" s="784"/>
      <c r="AC99" s="784"/>
      <c r="AD99" s="784"/>
    </row>
    <row r="100" spans="1:30" s="247" customFormat="1" x14ac:dyDescent="0.25">
      <c r="A100" s="262" t="s">
        <v>1</v>
      </c>
      <c r="B100" s="75" t="s">
        <v>602</v>
      </c>
      <c r="C100" s="75" t="s">
        <v>832</v>
      </c>
      <c r="D100" s="264"/>
      <c r="E100" s="107"/>
      <c r="F100" s="461"/>
      <c r="G100" s="121"/>
      <c r="H100" s="107"/>
      <c r="I100" s="108"/>
      <c r="J100" s="121"/>
      <c r="K100" s="474">
        <f>(SUM(E100+H100)+((F100+I100)*0.6667)+(G100+J100)*0.3333)/2</f>
        <v>0</v>
      </c>
      <c r="L100" s="47">
        <f t="shared" si="32"/>
        <v>0</v>
      </c>
      <c r="M100" s="268"/>
      <c r="N100" s="249"/>
      <c r="O100" s="249"/>
      <c r="P100" s="249">
        <f>SUM(N100+O100)</f>
        <v>0</v>
      </c>
      <c r="Q100" s="255"/>
      <c r="R100" s="767"/>
      <c r="S100" s="767"/>
      <c r="T100" s="262"/>
      <c r="U100" s="513"/>
      <c r="V100" s="530"/>
      <c r="W100" s="516" t="s">
        <v>1</v>
      </c>
      <c r="X100" s="515" t="s">
        <v>1</v>
      </c>
      <c r="Y100" s="514" t="s">
        <v>57</v>
      </c>
      <c r="Z100" s="182"/>
      <c r="AA100" s="182"/>
      <c r="AB100" s="182"/>
      <c r="AC100" s="182"/>
      <c r="AD100" s="182"/>
    </row>
    <row r="101" spans="1:30" x14ac:dyDescent="0.25">
      <c r="A101" s="56"/>
      <c r="B101" s="6" t="s">
        <v>388</v>
      </c>
      <c r="C101" s="6" t="s">
        <v>267</v>
      </c>
      <c r="D101" s="36">
        <v>109</v>
      </c>
      <c r="E101" s="103">
        <v>99</v>
      </c>
      <c r="F101" s="230">
        <v>4</v>
      </c>
      <c r="G101" s="119">
        <v>7</v>
      </c>
      <c r="H101" s="174">
        <v>82</v>
      </c>
      <c r="I101" s="175">
        <v>0</v>
      </c>
      <c r="J101" s="176">
        <v>8</v>
      </c>
      <c r="K101" s="491">
        <f t="shared" ref="K101:K106" si="35">(SUM(E101+H101)+((F101+I101)*0.6667)+(G101+J101)*0.3333)/2</f>
        <v>94.333150000000003</v>
      </c>
      <c r="L101" s="47">
        <f t="shared" si="32"/>
        <v>351520.30751800002</v>
      </c>
      <c r="M101" s="192"/>
      <c r="N101" s="7">
        <v>15626</v>
      </c>
      <c r="O101" s="7">
        <v>15056</v>
      </c>
      <c r="P101" s="7">
        <f t="shared" si="33"/>
        <v>30682</v>
      </c>
      <c r="Q101" s="57"/>
      <c r="R101" s="769" t="s">
        <v>867</v>
      </c>
      <c r="S101" s="769" t="s">
        <v>867</v>
      </c>
      <c r="T101" s="262"/>
      <c r="U101" s="508"/>
      <c r="V101" s="531"/>
      <c r="W101" s="509"/>
      <c r="X101" s="510"/>
      <c r="Y101" s="511"/>
      <c r="Z101" s="182"/>
      <c r="AA101" s="182"/>
      <c r="AB101" s="182"/>
      <c r="AC101" s="182"/>
      <c r="AD101" s="182"/>
    </row>
    <row r="102" spans="1:30" s="247" customFormat="1" x14ac:dyDescent="0.25">
      <c r="A102" s="457"/>
      <c r="B102" s="262" t="s">
        <v>401</v>
      </c>
      <c r="C102" s="262" t="s">
        <v>276</v>
      </c>
      <c r="D102" s="252">
        <v>2</v>
      </c>
      <c r="E102" s="103">
        <v>1</v>
      </c>
      <c r="F102" s="230">
        <v>0</v>
      </c>
      <c r="G102" s="119">
        <v>0</v>
      </c>
      <c r="H102" s="103">
        <v>1</v>
      </c>
      <c r="I102" s="261">
        <v>0</v>
      </c>
      <c r="J102" s="119">
        <v>0</v>
      </c>
      <c r="K102" s="491">
        <f t="shared" si="35"/>
        <v>1</v>
      </c>
      <c r="L102" s="47">
        <f t="shared" si="32"/>
        <v>3726.3709260000001</v>
      </c>
      <c r="M102" s="268"/>
      <c r="N102" s="249">
        <v>163.19999999999999</v>
      </c>
      <c r="O102" s="249">
        <v>196.8</v>
      </c>
      <c r="P102" s="249">
        <f>SUM(N102+O102)</f>
        <v>360</v>
      </c>
      <c r="Q102" s="255"/>
      <c r="R102" s="769" t="s">
        <v>867</v>
      </c>
      <c r="S102" s="769" t="s">
        <v>867</v>
      </c>
      <c r="T102" s="262"/>
      <c r="U102" s="508"/>
      <c r="V102" s="531"/>
      <c r="W102" s="509"/>
      <c r="X102" s="510"/>
      <c r="Y102" s="511"/>
      <c r="Z102" s="182"/>
      <c r="AA102" s="182"/>
      <c r="AB102" s="182"/>
      <c r="AC102" s="182"/>
      <c r="AD102" s="182"/>
    </row>
    <row r="103" spans="1:30" x14ac:dyDescent="0.25">
      <c r="A103" s="56"/>
      <c r="B103" s="6" t="s">
        <v>370</v>
      </c>
      <c r="C103" s="6" t="s">
        <v>277</v>
      </c>
      <c r="D103" s="36">
        <v>82</v>
      </c>
      <c r="E103" s="103">
        <v>71</v>
      </c>
      <c r="F103" s="230">
        <v>0</v>
      </c>
      <c r="G103" s="119">
        <v>12</v>
      </c>
      <c r="H103" s="103">
        <v>57</v>
      </c>
      <c r="I103" s="261">
        <v>1</v>
      </c>
      <c r="J103" s="119">
        <v>7</v>
      </c>
      <c r="K103" s="491">
        <f t="shared" si="35"/>
        <v>67.499700000000004</v>
      </c>
      <c r="L103" s="47">
        <f t="shared" si="32"/>
        <v>251528.91959400001</v>
      </c>
      <c r="M103" s="192"/>
      <c r="N103" s="7">
        <v>8597.6</v>
      </c>
      <c r="O103" s="782">
        <f>8342.4-25.6</f>
        <v>8316.7999999999993</v>
      </c>
      <c r="P103" s="7">
        <f t="shared" si="33"/>
        <v>16914.400000000001</v>
      </c>
      <c r="Q103" s="57"/>
      <c r="R103" s="769" t="s">
        <v>867</v>
      </c>
      <c r="S103" s="769" t="s">
        <v>915</v>
      </c>
      <c r="T103" s="182"/>
      <c r="U103" s="508"/>
      <c r="V103" s="531"/>
      <c r="W103" s="509"/>
      <c r="X103" s="510"/>
      <c r="Y103" s="511"/>
      <c r="Z103" s="182"/>
      <c r="AA103" s="182"/>
      <c r="AB103" s="182"/>
      <c r="AC103" s="182"/>
      <c r="AD103" s="182"/>
    </row>
    <row r="104" spans="1:30" s="864" customFormat="1" x14ac:dyDescent="0.25">
      <c r="A104" s="56"/>
      <c r="B104" s="75" t="s">
        <v>31</v>
      </c>
      <c r="C104" s="75" t="s">
        <v>279</v>
      </c>
      <c r="D104" s="264"/>
      <c r="E104" s="107"/>
      <c r="F104" s="461"/>
      <c r="G104" s="121"/>
      <c r="H104" s="107"/>
      <c r="I104" s="108"/>
      <c r="J104" s="121"/>
      <c r="K104" s="474">
        <f t="shared" si="35"/>
        <v>0</v>
      </c>
      <c r="L104" s="47">
        <f t="shared" si="32"/>
        <v>0</v>
      </c>
      <c r="M104" s="268"/>
      <c r="N104" s="488"/>
      <c r="O104" s="488"/>
      <c r="P104" s="488">
        <f t="shared" si="33"/>
        <v>0</v>
      </c>
      <c r="Q104" s="255"/>
      <c r="R104" s="769"/>
      <c r="S104" s="769"/>
      <c r="T104" s="784"/>
      <c r="U104" s="508"/>
      <c r="V104" s="531"/>
      <c r="W104" s="509"/>
      <c r="X104" s="510"/>
      <c r="Y104" s="511"/>
      <c r="Z104" s="784"/>
      <c r="AA104" s="784"/>
      <c r="AB104" s="784"/>
      <c r="AC104" s="784"/>
      <c r="AD104" s="784"/>
    </row>
    <row r="105" spans="1:30" x14ac:dyDescent="0.25">
      <c r="A105" s="56"/>
      <c r="B105" s="75" t="s">
        <v>387</v>
      </c>
      <c r="C105" s="75" t="s">
        <v>257</v>
      </c>
      <c r="D105" s="163">
        <v>3</v>
      </c>
      <c r="E105" s="111">
        <v>3</v>
      </c>
      <c r="F105" s="112">
        <v>0</v>
      </c>
      <c r="G105" s="123">
        <v>0</v>
      </c>
      <c r="H105" s="111">
        <v>3</v>
      </c>
      <c r="I105" s="112">
        <v>0</v>
      </c>
      <c r="J105" s="123">
        <v>0</v>
      </c>
      <c r="K105" s="474">
        <f t="shared" si="35"/>
        <v>3</v>
      </c>
      <c r="L105" s="47">
        <f t="shared" si="32"/>
        <v>11179.112778000001</v>
      </c>
      <c r="M105" s="192"/>
      <c r="N105" s="7">
        <v>470</v>
      </c>
      <c r="O105" s="7">
        <v>810</v>
      </c>
      <c r="P105" s="7">
        <f t="shared" si="33"/>
        <v>1280</v>
      </c>
      <c r="Q105" s="57"/>
      <c r="R105" s="769" t="s">
        <v>867</v>
      </c>
      <c r="S105" s="769" t="s">
        <v>867</v>
      </c>
      <c r="T105" s="182"/>
      <c r="U105" s="508"/>
      <c r="V105" s="531"/>
      <c r="W105" s="509"/>
      <c r="X105" s="510"/>
      <c r="Y105" s="511"/>
      <c r="Z105" s="182"/>
      <c r="AA105" s="182"/>
      <c r="AB105" s="182"/>
      <c r="AC105" s="182"/>
      <c r="AD105" s="182"/>
    </row>
    <row r="106" spans="1:30" s="487" customFormat="1" ht="15.6" x14ac:dyDescent="0.3">
      <c r="A106" s="457"/>
      <c r="B106" s="75" t="s">
        <v>350</v>
      </c>
      <c r="C106" s="75" t="s">
        <v>615</v>
      </c>
      <c r="D106" s="263"/>
      <c r="E106" s="111"/>
      <c r="F106" s="112"/>
      <c r="G106" s="123"/>
      <c r="H106" s="111"/>
      <c r="I106" s="112"/>
      <c r="J106" s="123"/>
      <c r="K106" s="474">
        <f t="shared" si="35"/>
        <v>0</v>
      </c>
      <c r="L106" s="47">
        <f t="shared" si="32"/>
        <v>0</v>
      </c>
      <c r="M106" s="268"/>
      <c r="N106" s="488"/>
      <c r="O106" s="488"/>
      <c r="P106" s="488">
        <f t="shared" si="33"/>
        <v>0</v>
      </c>
      <c r="Q106" s="255"/>
      <c r="R106" s="937"/>
      <c r="S106" s="937"/>
      <c r="T106" s="938"/>
      <c r="U106" s="508"/>
      <c r="V106" s="531"/>
      <c r="W106" s="509"/>
      <c r="X106" s="510"/>
      <c r="Y106" s="511"/>
      <c r="Z106" s="182"/>
      <c r="AA106" s="182"/>
      <c r="AB106" s="182"/>
      <c r="AC106" s="182"/>
      <c r="AD106" s="182"/>
    </row>
    <row r="107" spans="1:30" ht="15.6" x14ac:dyDescent="0.3">
      <c r="A107" s="56"/>
      <c r="B107" s="129" t="s">
        <v>386</v>
      </c>
      <c r="C107" s="129" t="s">
        <v>385</v>
      </c>
      <c r="D107" s="167"/>
      <c r="E107" s="130"/>
      <c r="F107" s="131"/>
      <c r="G107" s="132"/>
      <c r="H107" s="130"/>
      <c r="I107" s="131"/>
      <c r="J107" s="132"/>
      <c r="K107" s="491">
        <f t="shared" ref="K107:K108" si="36">(SUM(E107+H107)+((F107+I107)*0.6667)+(G107+J107)*0.3333)/2</f>
        <v>0</v>
      </c>
      <c r="L107" s="47">
        <f t="shared" si="32"/>
        <v>0</v>
      </c>
      <c r="M107" s="192"/>
      <c r="N107" s="133"/>
      <c r="O107" s="133"/>
      <c r="P107" s="7">
        <f t="shared" si="33"/>
        <v>0</v>
      </c>
      <c r="Q107" s="57"/>
      <c r="R107" s="937"/>
      <c r="S107" s="937"/>
      <c r="T107" s="938"/>
      <c r="U107" s="508"/>
      <c r="V107" s="531"/>
      <c r="W107" s="509"/>
      <c r="X107" s="510"/>
      <c r="Y107" s="511"/>
      <c r="Z107" s="182"/>
      <c r="AA107" s="182"/>
      <c r="AB107" s="182"/>
      <c r="AC107" s="182"/>
      <c r="AD107" s="182"/>
    </row>
    <row r="108" spans="1:30" x14ac:dyDescent="0.25">
      <c r="A108" s="56"/>
      <c r="B108" s="129" t="s">
        <v>58</v>
      </c>
      <c r="C108" s="129" t="s">
        <v>323</v>
      </c>
      <c r="D108" s="167">
        <v>1</v>
      </c>
      <c r="E108" s="130">
        <v>1</v>
      </c>
      <c r="F108" s="131">
        <v>0</v>
      </c>
      <c r="G108" s="132">
        <v>0</v>
      </c>
      <c r="H108" s="130">
        <v>1</v>
      </c>
      <c r="I108" s="131">
        <v>0</v>
      </c>
      <c r="J108" s="132">
        <v>0</v>
      </c>
      <c r="K108" s="491">
        <f t="shared" si="36"/>
        <v>1</v>
      </c>
      <c r="L108" s="47">
        <f t="shared" si="32"/>
        <v>3726.3709260000001</v>
      </c>
      <c r="M108" s="192"/>
      <c r="N108" s="133">
        <v>120</v>
      </c>
      <c r="O108" s="133">
        <v>111</v>
      </c>
      <c r="P108" s="7">
        <f t="shared" si="33"/>
        <v>231</v>
      </c>
      <c r="Q108" s="57"/>
      <c r="R108" s="769" t="s">
        <v>867</v>
      </c>
      <c r="S108" s="769" t="s">
        <v>867</v>
      </c>
      <c r="T108" s="262"/>
      <c r="U108" s="508"/>
      <c r="V108" s="531"/>
      <c r="W108" s="509"/>
      <c r="X108" s="510"/>
      <c r="Y108" s="512"/>
      <c r="Z108" s="182"/>
      <c r="AA108" s="182"/>
      <c r="AB108" s="182"/>
      <c r="AC108" s="182"/>
      <c r="AD108" s="182"/>
    </row>
    <row r="109" spans="1:30" ht="13.8" thickBot="1" x14ac:dyDescent="0.3">
      <c r="A109" s="60"/>
      <c r="B109" s="60" t="s">
        <v>54</v>
      </c>
      <c r="C109" s="60"/>
      <c r="D109" s="166"/>
      <c r="E109" s="109"/>
      <c r="F109" s="110"/>
      <c r="G109" s="122"/>
      <c r="H109" s="109"/>
      <c r="I109" s="110"/>
      <c r="J109" s="122"/>
      <c r="K109" s="50">
        <f>SUM(K97:K108)</f>
        <v>229.66614999999999</v>
      </c>
      <c r="L109" s="93"/>
      <c r="M109" s="193">
        <f>SUM(L97:L108)</f>
        <v>855821.26404699998</v>
      </c>
      <c r="N109" s="48"/>
      <c r="O109" s="48"/>
      <c r="P109" s="48"/>
      <c r="Q109" s="48">
        <f>SUM(P97:P108)</f>
        <v>68469.2</v>
      </c>
      <c r="R109" s="185"/>
      <c r="S109" s="185"/>
      <c r="T109" s="182"/>
      <c r="U109" s="877">
        <v>2557.36</v>
      </c>
      <c r="V109" s="878">
        <f>U109*2</f>
        <v>5114.72</v>
      </c>
      <c r="W109" s="879">
        <f>V109*0.75</f>
        <v>3836.04</v>
      </c>
      <c r="X109" s="880">
        <f>K109</f>
        <v>229.66614999999999</v>
      </c>
      <c r="Y109" s="881">
        <f>X109*W109</f>
        <v>881008.54</v>
      </c>
      <c r="Z109" s="182"/>
      <c r="AA109" s="182"/>
      <c r="AB109" s="182"/>
      <c r="AC109" s="182"/>
      <c r="AD109" s="182"/>
    </row>
    <row r="110" spans="1:30" ht="12.75" customHeight="1" x14ac:dyDescent="0.25">
      <c r="A110" s="457" t="s">
        <v>311</v>
      </c>
      <c r="B110" s="75" t="s">
        <v>581</v>
      </c>
      <c r="C110" s="75" t="s">
        <v>291</v>
      </c>
      <c r="D110" s="163">
        <v>13</v>
      </c>
      <c r="E110" s="111">
        <v>7</v>
      </c>
      <c r="F110" s="112">
        <v>1</v>
      </c>
      <c r="G110" s="123">
        <v>0</v>
      </c>
      <c r="H110" s="111">
        <v>4</v>
      </c>
      <c r="I110" s="112">
        <v>1</v>
      </c>
      <c r="J110" s="123">
        <v>1</v>
      </c>
      <c r="K110" s="474">
        <f>(SUM(E110+H110)+((F110+I110)*0.6667)+(G110+J110)*0.3333)/2</f>
        <v>6.3333500000000003</v>
      </c>
      <c r="L110" s="47">
        <f t="shared" ref="L110:L115" si="37">$B$266*K110</f>
        <v>23600.411304000001</v>
      </c>
      <c r="M110" s="192"/>
      <c r="N110" s="133">
        <v>2572.5</v>
      </c>
      <c r="O110" s="7">
        <v>2017.5</v>
      </c>
      <c r="P110" s="7">
        <f t="shared" ref="P110:P115" si="38">SUM(N110+O110)</f>
        <v>4590</v>
      </c>
      <c r="Q110" s="57"/>
      <c r="R110" s="769" t="s">
        <v>867</v>
      </c>
      <c r="S110" s="767" t="s">
        <v>867</v>
      </c>
      <c r="T110" s="262"/>
      <c r="U110" s="505"/>
      <c r="V110" s="558"/>
      <c r="W110" s="506"/>
      <c r="X110" s="507"/>
      <c r="Y110" s="553"/>
      <c r="Z110" s="1020" t="s">
        <v>868</v>
      </c>
      <c r="AA110" s="1023"/>
      <c r="AB110" s="1023"/>
      <c r="AC110" s="1023"/>
      <c r="AD110" s="182"/>
    </row>
    <row r="111" spans="1:30" x14ac:dyDescent="0.25">
      <c r="A111" s="457" t="s">
        <v>1</v>
      </c>
      <c r="B111" s="6" t="s">
        <v>393</v>
      </c>
      <c r="C111" s="6" t="s">
        <v>275</v>
      </c>
      <c r="E111" s="103"/>
      <c r="F111" s="104"/>
      <c r="G111" s="119"/>
      <c r="H111" s="103"/>
      <c r="I111" s="261"/>
      <c r="J111" s="119"/>
      <c r="K111" s="491">
        <f>(SUM(E111+H111)+((F111+I111)*0.6667)+(G111+J111)*0.3333)/2</f>
        <v>0</v>
      </c>
      <c r="L111" s="47">
        <f t="shared" si="37"/>
        <v>0</v>
      </c>
      <c r="M111" s="192"/>
      <c r="N111" s="133"/>
      <c r="O111" s="7"/>
      <c r="P111" s="7">
        <f t="shared" si="38"/>
        <v>0</v>
      </c>
      <c r="Q111" s="57"/>
      <c r="R111" s="185"/>
      <c r="S111" s="173"/>
      <c r="T111" s="182"/>
      <c r="U111" s="508"/>
      <c r="V111" s="531"/>
      <c r="W111" s="509"/>
      <c r="X111" s="510"/>
      <c r="Y111" s="511"/>
      <c r="Z111" s="1020"/>
      <c r="AA111" s="1023"/>
      <c r="AB111" s="1023"/>
      <c r="AC111" s="1023"/>
      <c r="AD111" s="182"/>
    </row>
    <row r="112" spans="1:30" s="247" customFormat="1" x14ac:dyDescent="0.25">
      <c r="A112" s="457" t="s">
        <v>1</v>
      </c>
      <c r="B112" s="75" t="s">
        <v>594</v>
      </c>
      <c r="C112" s="75" t="s">
        <v>280</v>
      </c>
      <c r="D112" s="264">
        <v>5</v>
      </c>
      <c r="E112" s="107">
        <v>2</v>
      </c>
      <c r="F112" s="108">
        <v>1</v>
      </c>
      <c r="G112" s="121">
        <v>0</v>
      </c>
      <c r="H112" s="107">
        <v>2</v>
      </c>
      <c r="I112" s="108">
        <v>0</v>
      </c>
      <c r="J112" s="121">
        <v>0</v>
      </c>
      <c r="K112" s="474">
        <f t="shared" ref="K112:K113" si="39">(SUM(E112+H112)+((F112+I112)*0.6667)+(G112+J112)*0.3333)/2</f>
        <v>2.3333499999999998</v>
      </c>
      <c r="L112" s="47">
        <f t="shared" si="37"/>
        <v>8694.9276000000009</v>
      </c>
      <c r="M112" s="268"/>
      <c r="N112" s="133">
        <v>796.8</v>
      </c>
      <c r="O112" s="249">
        <v>512.4</v>
      </c>
      <c r="P112" s="249">
        <f t="shared" si="38"/>
        <v>1309.2</v>
      </c>
      <c r="Q112" s="255"/>
      <c r="R112" s="767" t="s">
        <v>867</v>
      </c>
      <c r="S112" s="173" t="s">
        <v>867</v>
      </c>
      <c r="T112" s="182"/>
      <c r="U112" s="508"/>
      <c r="V112" s="531"/>
      <c r="W112" s="509"/>
      <c r="X112" s="510"/>
      <c r="Y112" s="511"/>
      <c r="Z112" s="1020"/>
      <c r="AA112" s="1023"/>
      <c r="AB112" s="1023"/>
      <c r="AC112" s="1023"/>
      <c r="AD112" s="182"/>
    </row>
    <row r="113" spans="1:30" x14ac:dyDescent="0.25">
      <c r="A113" s="457" t="s">
        <v>1</v>
      </c>
      <c r="B113" s="75" t="s">
        <v>392</v>
      </c>
      <c r="C113" s="75" t="s">
        <v>279</v>
      </c>
      <c r="D113" s="165"/>
      <c r="E113" s="107"/>
      <c r="F113" s="108"/>
      <c r="G113" s="121"/>
      <c r="H113" s="107"/>
      <c r="I113" s="108"/>
      <c r="J113" s="121"/>
      <c r="K113" s="474">
        <f t="shared" si="39"/>
        <v>0</v>
      </c>
      <c r="L113" s="47">
        <f t="shared" si="37"/>
        <v>0</v>
      </c>
      <c r="M113" s="192"/>
      <c r="N113" s="133"/>
      <c r="O113" s="7"/>
      <c r="P113" s="7">
        <f t="shared" si="38"/>
        <v>0</v>
      </c>
      <c r="Q113" s="57"/>
      <c r="R113" s="185"/>
      <c r="S113" s="173"/>
      <c r="T113" s="182"/>
      <c r="U113" s="508"/>
      <c r="V113" s="531"/>
      <c r="W113" s="509"/>
      <c r="X113" s="510"/>
      <c r="Y113" s="511"/>
      <c r="Z113" s="1020"/>
      <c r="AA113" s="1023"/>
      <c r="AB113" s="1023"/>
      <c r="AC113" s="1023"/>
      <c r="AD113" s="182"/>
    </row>
    <row r="114" spans="1:30" x14ac:dyDescent="0.25">
      <c r="A114" s="457" t="s">
        <v>1</v>
      </c>
      <c r="B114" s="129" t="s">
        <v>391</v>
      </c>
      <c r="C114" s="129" t="s">
        <v>283</v>
      </c>
      <c r="D114" s="167"/>
      <c r="E114" s="103"/>
      <c r="F114" s="175"/>
      <c r="G114" s="119"/>
      <c r="H114" s="103"/>
      <c r="I114" s="175"/>
      <c r="J114" s="119"/>
      <c r="K114" s="491">
        <f t="shared" ref="K114:K115" si="40">(SUM(E114+H114)+((F114+I114)*0.6667)+(G114+J114)*0.3333)/2</f>
        <v>0</v>
      </c>
      <c r="L114" s="47">
        <f t="shared" si="37"/>
        <v>0</v>
      </c>
      <c r="M114" s="192"/>
      <c r="N114" s="133"/>
      <c r="O114" s="7"/>
      <c r="P114" s="7">
        <f t="shared" si="38"/>
        <v>0</v>
      </c>
      <c r="Q114" s="57"/>
      <c r="R114" s="185"/>
      <c r="S114" s="185"/>
      <c r="T114" s="182"/>
      <c r="U114" s="508"/>
      <c r="V114" s="531"/>
      <c r="W114" s="509"/>
      <c r="X114" s="510"/>
      <c r="Y114" s="511"/>
      <c r="Z114" s="1020"/>
      <c r="AA114" s="1023"/>
      <c r="AB114" s="1023"/>
      <c r="AC114" s="1023"/>
      <c r="AD114" s="182"/>
    </row>
    <row r="115" spans="1:30" x14ac:dyDescent="0.25">
      <c r="A115" s="457"/>
      <c r="B115" s="6" t="s">
        <v>390</v>
      </c>
      <c r="C115" s="6" t="s">
        <v>290</v>
      </c>
      <c r="D115" s="36">
        <v>1</v>
      </c>
      <c r="E115" s="103">
        <v>1</v>
      </c>
      <c r="F115" s="175">
        <v>0</v>
      </c>
      <c r="G115" s="119">
        <v>0</v>
      </c>
      <c r="H115" s="103">
        <v>1</v>
      </c>
      <c r="I115" s="175">
        <v>0</v>
      </c>
      <c r="J115" s="119">
        <v>0</v>
      </c>
      <c r="K115" s="491">
        <f t="shared" si="40"/>
        <v>1</v>
      </c>
      <c r="L115" s="47">
        <f t="shared" si="37"/>
        <v>3726.3709260000001</v>
      </c>
      <c r="M115" s="192"/>
      <c r="N115" s="7">
        <v>305</v>
      </c>
      <c r="O115" s="7">
        <v>205</v>
      </c>
      <c r="P115" s="7">
        <f t="shared" si="38"/>
        <v>510</v>
      </c>
      <c r="Q115" s="57"/>
      <c r="R115" s="173" t="s">
        <v>867</v>
      </c>
      <c r="S115" s="173" t="s">
        <v>867</v>
      </c>
      <c r="T115" s="182"/>
      <c r="U115" s="508"/>
      <c r="V115" s="531"/>
      <c r="W115" s="509"/>
      <c r="X115" s="510"/>
      <c r="Y115" s="511"/>
      <c r="Z115" s="1020"/>
      <c r="AA115" s="1023"/>
      <c r="AB115" s="1023"/>
      <c r="AC115" s="1023"/>
      <c r="AD115" s="182"/>
    </row>
    <row r="116" spans="1:30" ht="13.8" thickBot="1" x14ac:dyDescent="0.3">
      <c r="A116" s="60"/>
      <c r="B116" s="60" t="s">
        <v>54</v>
      </c>
      <c r="C116" s="60"/>
      <c r="D116" s="166"/>
      <c r="E116" s="109"/>
      <c r="F116" s="110"/>
      <c r="G116" s="122"/>
      <c r="H116" s="109"/>
      <c r="I116" s="110"/>
      <c r="J116" s="122"/>
      <c r="K116" s="50">
        <f>SUM(K110:K115)</f>
        <v>9.6667000000000005</v>
      </c>
      <c r="L116" s="93"/>
      <c r="M116" s="196">
        <f>SUM(L110:L115)</f>
        <v>36021.70983</v>
      </c>
      <c r="N116" s="48"/>
      <c r="O116" s="48"/>
      <c r="P116" s="48"/>
      <c r="Q116" s="48">
        <f>SUM(P110:P115)</f>
        <v>6409.2</v>
      </c>
      <c r="R116" s="185"/>
      <c r="S116" s="185"/>
      <c r="T116" s="182"/>
      <c r="U116" s="882"/>
      <c r="V116" s="883">
        <f>U116*2</f>
        <v>0</v>
      </c>
      <c r="W116" s="884">
        <f>V116*0.75</f>
        <v>0</v>
      </c>
      <c r="X116" s="885">
        <f>K116</f>
        <v>9.6667000000000005</v>
      </c>
      <c r="Y116" s="886">
        <f>X116*W116</f>
        <v>0</v>
      </c>
      <c r="Z116" s="1020"/>
      <c r="AA116" s="1023"/>
      <c r="AB116" s="1023"/>
      <c r="AC116" s="1023"/>
      <c r="AD116" s="182"/>
    </row>
    <row r="117" spans="1:30" s="760" customFormat="1" x14ac:dyDescent="0.25">
      <c r="A117" s="457" t="s">
        <v>212</v>
      </c>
      <c r="B117" s="721" t="s">
        <v>389</v>
      </c>
      <c r="C117" s="262" t="s">
        <v>289</v>
      </c>
      <c r="D117" s="265">
        <v>2</v>
      </c>
      <c r="E117" s="174">
        <v>1</v>
      </c>
      <c r="F117" s="476">
        <v>0</v>
      </c>
      <c r="G117" s="176">
        <v>0</v>
      </c>
      <c r="H117" s="174">
        <v>1</v>
      </c>
      <c r="I117" s="175">
        <v>0</v>
      </c>
      <c r="J117" s="176">
        <v>0</v>
      </c>
      <c r="K117" s="491">
        <f>(SUM(E117+H117)+((F117+I117)*0.6667)+(G117+J117)*0.3333)/2</f>
        <v>1</v>
      </c>
      <c r="L117" s="483">
        <f t="shared" ref="L117:L131" si="41">$B$266*K117</f>
        <v>3726.3709260000001</v>
      </c>
      <c r="M117" s="362"/>
      <c r="N117" s="494">
        <v>56.32</v>
      </c>
      <c r="O117" s="494">
        <v>110.08</v>
      </c>
      <c r="P117" s="488">
        <f>SUM(N117+O117)</f>
        <v>166.4</v>
      </c>
      <c r="Q117" s="255"/>
      <c r="R117" s="769" t="s">
        <v>867</v>
      </c>
      <c r="S117" s="769" t="s">
        <v>867</v>
      </c>
      <c r="T117" s="768"/>
      <c r="U117" s="508"/>
      <c r="V117" s="531"/>
      <c r="W117" s="509"/>
      <c r="X117" s="510"/>
      <c r="Y117" s="511"/>
      <c r="Z117" s="941"/>
      <c r="AA117" s="940"/>
      <c r="AB117" s="940"/>
      <c r="AC117" s="940"/>
      <c r="AD117" s="768"/>
    </row>
    <row r="118" spans="1:30" s="487" customFormat="1" x14ac:dyDescent="0.25">
      <c r="A118" s="56"/>
      <c r="B118" s="248" t="s">
        <v>388</v>
      </c>
      <c r="C118" s="262" t="s">
        <v>267</v>
      </c>
      <c r="D118" s="265"/>
      <c r="E118" s="103"/>
      <c r="F118" s="230"/>
      <c r="G118" s="119"/>
      <c r="H118" s="174"/>
      <c r="I118" s="175"/>
      <c r="J118" s="176"/>
      <c r="K118" s="491">
        <f t="shared" ref="K118:K119" si="42">(SUM(E118+H118)+((F118+I118)*0.6667)+(G118+J118)*0.3333)/2</f>
        <v>0</v>
      </c>
      <c r="L118" s="483">
        <f t="shared" si="41"/>
        <v>0</v>
      </c>
      <c r="M118" s="362"/>
      <c r="N118" s="494"/>
      <c r="O118" s="494"/>
      <c r="P118" s="488">
        <f>SUM(N118+O118)</f>
        <v>0</v>
      </c>
      <c r="Q118" s="255"/>
      <c r="R118" s="185"/>
      <c r="S118" s="185"/>
      <c r="T118" s="182"/>
      <c r="U118" s="508"/>
      <c r="V118" s="531"/>
      <c r="W118" s="509"/>
      <c r="X118" s="510"/>
      <c r="Y118" s="511"/>
      <c r="Z118" s="941"/>
      <c r="AA118" s="940"/>
      <c r="AB118" s="940"/>
      <c r="AC118" s="940"/>
      <c r="AD118" s="182"/>
    </row>
    <row r="119" spans="1:30" x14ac:dyDescent="0.25">
      <c r="A119" s="56" t="s">
        <v>1</v>
      </c>
      <c r="B119" s="6" t="s">
        <v>395</v>
      </c>
      <c r="C119" s="6" t="s">
        <v>275</v>
      </c>
      <c r="D119" s="265">
        <v>2</v>
      </c>
      <c r="E119" s="103">
        <v>1</v>
      </c>
      <c r="F119" s="230">
        <v>0</v>
      </c>
      <c r="G119" s="119">
        <v>0</v>
      </c>
      <c r="H119" s="174">
        <v>2</v>
      </c>
      <c r="I119" s="175">
        <v>0</v>
      </c>
      <c r="J119" s="176">
        <v>0</v>
      </c>
      <c r="K119" s="491">
        <f t="shared" si="42"/>
        <v>1.5</v>
      </c>
      <c r="L119" s="483">
        <f t="shared" si="41"/>
        <v>5589.5563890000003</v>
      </c>
      <c r="M119" s="362"/>
      <c r="N119" s="133">
        <v>32.4</v>
      </c>
      <c r="O119" s="133">
        <v>115.2</v>
      </c>
      <c r="P119" s="7">
        <f t="shared" ref="P119:P131" si="43">SUM(N119+O119)</f>
        <v>147.6</v>
      </c>
      <c r="Q119" s="57"/>
      <c r="R119" s="185" t="s">
        <v>867</v>
      </c>
      <c r="S119" s="185" t="s">
        <v>867</v>
      </c>
      <c r="T119" s="182"/>
      <c r="U119" s="508"/>
      <c r="V119" s="531"/>
      <c r="W119" s="509"/>
      <c r="X119" s="510"/>
      <c r="Y119" s="511"/>
      <c r="Z119" s="182"/>
      <c r="AA119" s="182"/>
      <c r="AB119" s="182"/>
      <c r="AC119" s="182"/>
      <c r="AD119" s="182"/>
    </row>
    <row r="120" spans="1:30" s="864" customFormat="1" x14ac:dyDescent="0.25">
      <c r="A120" s="953" t="s">
        <v>883</v>
      </c>
      <c r="B120" s="866" t="s">
        <v>863</v>
      </c>
      <c r="C120" s="866" t="s">
        <v>878</v>
      </c>
      <c r="D120" s="265">
        <v>1</v>
      </c>
      <c r="E120" s="103">
        <v>1</v>
      </c>
      <c r="F120" s="230">
        <v>0</v>
      </c>
      <c r="G120" s="119">
        <v>0</v>
      </c>
      <c r="H120" s="174">
        <v>1</v>
      </c>
      <c r="I120" s="175">
        <v>0</v>
      </c>
      <c r="J120" s="176">
        <v>0</v>
      </c>
      <c r="K120" s="491">
        <f t="shared" ref="K120" si="44">(SUM(E120+H120)+((F120+I120)*0.6667)+(G120+J120)*0.3333)/2</f>
        <v>1</v>
      </c>
      <c r="L120" s="483">
        <f t="shared" si="41"/>
        <v>3726.3709260000001</v>
      </c>
      <c r="M120" s="362"/>
      <c r="N120" s="782">
        <v>19</v>
      </c>
      <c r="O120" s="782">
        <v>49</v>
      </c>
      <c r="P120" s="488">
        <f t="shared" ref="P120" si="45">SUM(N120+O120)</f>
        <v>68</v>
      </c>
      <c r="Q120" s="255"/>
      <c r="R120" s="769" t="s">
        <v>867</v>
      </c>
      <c r="S120" s="769" t="s">
        <v>867</v>
      </c>
      <c r="T120" s="784"/>
      <c r="U120" s="508"/>
      <c r="V120" s="531"/>
      <c r="W120" s="509"/>
      <c r="X120" s="510"/>
      <c r="Y120" s="511"/>
      <c r="Z120" s="784"/>
      <c r="AA120" s="784"/>
      <c r="AB120" s="784"/>
      <c r="AC120" s="784"/>
      <c r="AD120" s="784"/>
    </row>
    <row r="121" spans="1:30" s="247" customFormat="1" x14ac:dyDescent="0.25">
      <c r="A121" s="262" t="s">
        <v>1</v>
      </c>
      <c r="B121" s="75" t="s">
        <v>28</v>
      </c>
      <c r="C121" s="75" t="s">
        <v>274</v>
      </c>
      <c r="D121" s="264"/>
      <c r="E121" s="107"/>
      <c r="F121" s="461"/>
      <c r="G121" s="121"/>
      <c r="H121" s="107"/>
      <c r="I121" s="108"/>
      <c r="J121" s="121"/>
      <c r="K121" s="474">
        <f>(SUM(E121+H121)+((F121+I121)*0.6667)+(G121+J121)*0.3333)/2</f>
        <v>0</v>
      </c>
      <c r="L121" s="47">
        <f t="shared" si="41"/>
        <v>0</v>
      </c>
      <c r="M121" s="268"/>
      <c r="N121" s="249"/>
      <c r="O121" s="249"/>
      <c r="P121" s="249">
        <f>SUM(N121+O121)</f>
        <v>0</v>
      </c>
      <c r="Q121" s="255"/>
      <c r="R121" s="185"/>
      <c r="S121" s="185"/>
      <c r="T121" s="182"/>
      <c r="U121" s="508"/>
      <c r="V121" s="531"/>
      <c r="W121" s="509"/>
      <c r="X121" s="510"/>
      <c r="Y121" s="512"/>
      <c r="Z121" s="182"/>
      <c r="AA121" s="182"/>
      <c r="AB121" s="182"/>
      <c r="AC121" s="182"/>
      <c r="AD121" s="182"/>
    </row>
    <row r="122" spans="1:30" s="247" customFormat="1" x14ac:dyDescent="0.25">
      <c r="A122" s="262" t="s">
        <v>1</v>
      </c>
      <c r="B122" s="262" t="s">
        <v>401</v>
      </c>
      <c r="C122" s="262" t="s">
        <v>276</v>
      </c>
      <c r="D122" s="265"/>
      <c r="E122" s="174"/>
      <c r="F122" s="476"/>
      <c r="G122" s="176"/>
      <c r="H122" s="174"/>
      <c r="I122" s="175"/>
      <c r="J122" s="176"/>
      <c r="K122" s="491">
        <f t="shared" ref="K122:K123" si="46">(SUM(E122+H122)+((F122+I122)*0.6667)+(G122+J122)*0.3333)/2</f>
        <v>0</v>
      </c>
      <c r="L122" s="47">
        <f t="shared" si="41"/>
        <v>0</v>
      </c>
      <c r="M122" s="268"/>
      <c r="N122" s="249"/>
      <c r="O122" s="249"/>
      <c r="P122" s="249">
        <f>SUM(N122+O122)</f>
        <v>0</v>
      </c>
      <c r="Q122" s="255"/>
      <c r="R122" s="185"/>
      <c r="S122" s="173"/>
      <c r="T122" s="182"/>
      <c r="U122" s="513"/>
      <c r="V122" s="530"/>
      <c r="W122" s="516" t="s">
        <v>1</v>
      </c>
      <c r="X122" s="515" t="s">
        <v>1</v>
      </c>
      <c r="Y122" s="514" t="s">
        <v>1</v>
      </c>
      <c r="Z122" s="182"/>
      <c r="AA122" s="182"/>
      <c r="AB122" s="182"/>
      <c r="AC122" s="182"/>
      <c r="AD122" s="182"/>
    </row>
    <row r="123" spans="1:30" s="247" customFormat="1" x14ac:dyDescent="0.25">
      <c r="A123" s="262" t="s">
        <v>1</v>
      </c>
      <c r="B123" s="248" t="s">
        <v>370</v>
      </c>
      <c r="C123" s="248" t="s">
        <v>277</v>
      </c>
      <c r="D123" s="265"/>
      <c r="E123" s="174"/>
      <c r="F123" s="476"/>
      <c r="G123" s="176"/>
      <c r="H123" s="174"/>
      <c r="I123" s="175"/>
      <c r="J123" s="176"/>
      <c r="K123" s="491">
        <f t="shared" si="46"/>
        <v>0</v>
      </c>
      <c r="L123" s="47">
        <f t="shared" si="41"/>
        <v>0</v>
      </c>
      <c r="M123" s="268"/>
      <c r="N123" s="249"/>
      <c r="O123" s="249"/>
      <c r="P123" s="249">
        <f>SUM(N123+O123)</f>
        <v>0</v>
      </c>
      <c r="Q123" s="255"/>
      <c r="R123" s="185"/>
      <c r="S123" s="185"/>
      <c r="T123" s="182"/>
      <c r="U123" s="508"/>
      <c r="V123" s="531"/>
      <c r="W123" s="509"/>
      <c r="X123" s="510"/>
      <c r="Y123" s="511"/>
      <c r="Z123" s="182"/>
      <c r="AA123" s="182"/>
      <c r="AB123" s="182"/>
      <c r="AC123" s="182"/>
      <c r="AD123" s="182"/>
    </row>
    <row r="124" spans="1:30" x14ac:dyDescent="0.25">
      <c r="A124" s="56"/>
      <c r="B124" s="75" t="s">
        <v>396</v>
      </c>
      <c r="C124" s="75" t="s">
        <v>211</v>
      </c>
      <c r="D124" s="165"/>
      <c r="E124" s="107"/>
      <c r="F124" s="108"/>
      <c r="G124" s="121"/>
      <c r="H124" s="107"/>
      <c r="I124" s="108"/>
      <c r="J124" s="121"/>
      <c r="K124" s="474">
        <f>(SUM(E124+H124)+((F124+I124)*0.6667)+(G124+J124)*0.3333)/2</f>
        <v>0</v>
      </c>
      <c r="L124" s="47">
        <f t="shared" si="41"/>
        <v>0</v>
      </c>
      <c r="M124" s="192"/>
      <c r="N124" s="7"/>
      <c r="O124" s="7"/>
      <c r="P124" s="7">
        <f t="shared" si="43"/>
        <v>0</v>
      </c>
      <c r="Q124" s="57"/>
      <c r="R124" s="185"/>
      <c r="S124" s="185"/>
      <c r="T124" s="182"/>
      <c r="U124" s="508"/>
      <c r="V124" s="531"/>
      <c r="W124" s="509"/>
      <c r="X124" s="510"/>
      <c r="Y124" s="511"/>
      <c r="Z124" s="182"/>
      <c r="AA124" s="182"/>
      <c r="AB124" s="182"/>
      <c r="AC124" s="182"/>
      <c r="AD124" s="182"/>
    </row>
    <row r="125" spans="1:30" s="247" customFormat="1" x14ac:dyDescent="0.25">
      <c r="A125" s="457"/>
      <c r="B125" s="262" t="s">
        <v>33</v>
      </c>
      <c r="C125" s="262" t="s">
        <v>258</v>
      </c>
      <c r="D125" s="265"/>
      <c r="E125" s="174"/>
      <c r="F125" s="175"/>
      <c r="G125" s="176"/>
      <c r="H125" s="174"/>
      <c r="I125" s="175"/>
      <c r="J125" s="176"/>
      <c r="K125" s="491">
        <f t="shared" ref="K125:K131" si="47">(SUM(E125+H125)+((F125+I125)*0.6667)+(G125+J125)*0.3333)/2</f>
        <v>0</v>
      </c>
      <c r="L125" s="47">
        <f t="shared" si="41"/>
        <v>0</v>
      </c>
      <c r="M125" s="268"/>
      <c r="N125" s="249"/>
      <c r="O125" s="249"/>
      <c r="P125" s="488">
        <f>SUM(N125+O125)</f>
        <v>0</v>
      </c>
      <c r="Q125" s="255"/>
      <c r="R125" s="185"/>
      <c r="S125" s="185"/>
      <c r="T125" s="182"/>
      <c r="U125" s="508"/>
      <c r="V125" s="531"/>
      <c r="W125" s="509"/>
      <c r="X125" s="510"/>
      <c r="Y125" s="511"/>
      <c r="Z125" s="182"/>
      <c r="AA125" s="182"/>
      <c r="AB125" s="182"/>
      <c r="AC125" s="182"/>
      <c r="AD125" s="182"/>
    </row>
    <row r="126" spans="1:30" x14ac:dyDescent="0.25">
      <c r="A126" s="939" t="s">
        <v>1</v>
      </c>
      <c r="B126" s="942" t="s">
        <v>500</v>
      </c>
      <c r="C126" s="942" t="s">
        <v>257</v>
      </c>
      <c r="D126" s="943">
        <v>0</v>
      </c>
      <c r="E126" s="174">
        <v>0</v>
      </c>
      <c r="F126" s="175">
        <v>0</v>
      </c>
      <c r="G126" s="176">
        <v>0</v>
      </c>
      <c r="H126" s="103">
        <v>0</v>
      </c>
      <c r="I126" s="175">
        <v>0</v>
      </c>
      <c r="J126" s="119">
        <v>0</v>
      </c>
      <c r="K126" s="491">
        <f t="shared" si="47"/>
        <v>0</v>
      </c>
      <c r="L126" s="47">
        <f t="shared" si="41"/>
        <v>0</v>
      </c>
      <c r="M126" s="192"/>
      <c r="N126" s="133">
        <v>0</v>
      </c>
      <c r="O126" s="133">
        <v>0</v>
      </c>
      <c r="P126" s="488">
        <f t="shared" si="43"/>
        <v>0</v>
      </c>
      <c r="Q126" s="57"/>
      <c r="R126" s="185"/>
      <c r="S126" s="185"/>
      <c r="T126" s="182"/>
      <c r="U126" s="508"/>
      <c r="V126" s="531"/>
      <c r="W126" s="509"/>
      <c r="X126" s="510"/>
      <c r="Y126" s="511"/>
      <c r="Z126" s="182"/>
      <c r="AA126" s="182"/>
      <c r="AB126" s="182"/>
      <c r="AC126" s="182"/>
      <c r="AD126" s="182"/>
    </row>
    <row r="127" spans="1:30" s="864" customFormat="1" x14ac:dyDescent="0.25">
      <c r="A127" s="457" t="s">
        <v>1</v>
      </c>
      <c r="B127" s="76" t="s">
        <v>356</v>
      </c>
      <c r="C127" s="76"/>
      <c r="D127" s="168">
        <v>1</v>
      </c>
      <c r="E127" s="103">
        <v>1</v>
      </c>
      <c r="F127" s="261">
        <v>0</v>
      </c>
      <c r="G127" s="119">
        <v>0</v>
      </c>
      <c r="H127" s="103">
        <v>0</v>
      </c>
      <c r="I127" s="261">
        <v>0</v>
      </c>
      <c r="J127" s="119">
        <v>0</v>
      </c>
      <c r="K127" s="491">
        <f t="shared" ref="K127" si="48">(SUM(E127+H127)+((F127+I127)*0.6667)+(G127+J127)*0.3333)/2</f>
        <v>0.5</v>
      </c>
      <c r="L127" s="47">
        <f t="shared" si="41"/>
        <v>1863.185463</v>
      </c>
      <c r="M127" s="268"/>
      <c r="N127" s="782">
        <v>190</v>
      </c>
      <c r="O127" s="782">
        <v>0</v>
      </c>
      <c r="P127" s="488">
        <f t="shared" si="43"/>
        <v>190</v>
      </c>
      <c r="Q127" s="255"/>
      <c r="R127" s="769" t="s">
        <v>867</v>
      </c>
      <c r="S127" s="769" t="s">
        <v>818</v>
      </c>
      <c r="T127" s="784"/>
      <c r="U127" s="508"/>
      <c r="V127" s="531"/>
      <c r="W127" s="509"/>
      <c r="X127" s="510"/>
      <c r="Y127" s="511"/>
      <c r="Z127" s="784"/>
      <c r="AA127" s="784"/>
      <c r="AB127" s="784"/>
      <c r="AC127" s="784"/>
      <c r="AD127" s="784"/>
    </row>
    <row r="128" spans="1:30" x14ac:dyDescent="0.25">
      <c r="A128" s="56"/>
      <c r="B128" s="6" t="s">
        <v>397</v>
      </c>
      <c r="C128" s="6" t="s">
        <v>283</v>
      </c>
      <c r="D128" s="265">
        <v>4</v>
      </c>
      <c r="E128" s="103">
        <v>4</v>
      </c>
      <c r="F128" s="128">
        <v>0</v>
      </c>
      <c r="G128" s="119">
        <v>0</v>
      </c>
      <c r="H128" s="103">
        <v>4</v>
      </c>
      <c r="I128" s="175">
        <v>0</v>
      </c>
      <c r="J128" s="119">
        <v>0</v>
      </c>
      <c r="K128" s="491">
        <f t="shared" si="47"/>
        <v>4</v>
      </c>
      <c r="L128" s="47">
        <f t="shared" si="41"/>
        <v>14905.483704</v>
      </c>
      <c r="M128" s="192"/>
      <c r="N128" s="133">
        <v>240</v>
      </c>
      <c r="O128" s="133">
        <v>495</v>
      </c>
      <c r="P128" s="7">
        <f t="shared" si="43"/>
        <v>735</v>
      </c>
      <c r="Q128" s="57"/>
      <c r="R128" s="185" t="s">
        <v>867</v>
      </c>
      <c r="S128" s="769" t="s">
        <v>867</v>
      </c>
      <c r="T128" s="182"/>
      <c r="U128" s="508"/>
      <c r="V128" s="531"/>
      <c r="W128" s="509"/>
      <c r="X128" s="510"/>
      <c r="Y128" s="511"/>
      <c r="Z128" s="182"/>
      <c r="AA128" s="182"/>
      <c r="AB128" s="182"/>
      <c r="AC128" s="182"/>
      <c r="AD128" s="182"/>
    </row>
    <row r="129" spans="1:30" x14ac:dyDescent="0.25">
      <c r="A129" s="56"/>
      <c r="B129" s="6" t="s">
        <v>394</v>
      </c>
      <c r="C129" s="6" t="s">
        <v>901</v>
      </c>
      <c r="E129" s="103"/>
      <c r="F129" s="128"/>
      <c r="G129" s="119"/>
      <c r="H129" s="103"/>
      <c r="I129" s="261"/>
      <c r="J129" s="119"/>
      <c r="K129" s="491">
        <f t="shared" si="47"/>
        <v>0</v>
      </c>
      <c r="L129" s="47">
        <f t="shared" si="41"/>
        <v>0</v>
      </c>
      <c r="M129" s="192"/>
      <c r="N129" s="133"/>
      <c r="O129" s="133"/>
      <c r="P129" s="7">
        <f t="shared" si="43"/>
        <v>0</v>
      </c>
      <c r="Q129" s="57"/>
      <c r="R129" s="185"/>
      <c r="S129" s="173"/>
      <c r="T129" s="182"/>
      <c r="U129" s="508"/>
      <c r="V129" s="531"/>
      <c r="W129" s="509"/>
      <c r="X129" s="510"/>
      <c r="Y129" s="512"/>
      <c r="Z129" s="182"/>
      <c r="AA129" s="182"/>
      <c r="AB129" s="182"/>
      <c r="AC129" s="182"/>
      <c r="AD129" s="182"/>
    </row>
    <row r="130" spans="1:30" s="864" customFormat="1" x14ac:dyDescent="0.25">
      <c r="A130" s="56"/>
      <c r="B130" s="866" t="s">
        <v>390</v>
      </c>
      <c r="C130" s="866" t="s">
        <v>290</v>
      </c>
      <c r="D130" s="265">
        <v>8</v>
      </c>
      <c r="E130" s="103">
        <v>7</v>
      </c>
      <c r="F130" s="261">
        <v>0</v>
      </c>
      <c r="G130" s="119">
        <v>0</v>
      </c>
      <c r="H130" s="103">
        <v>4</v>
      </c>
      <c r="I130" s="261">
        <v>0</v>
      </c>
      <c r="J130" s="119">
        <v>1</v>
      </c>
      <c r="K130" s="491">
        <f t="shared" ref="K130" si="49">(SUM(E130+H130)+((F130+I130)*0.6667)+(G130+J130)*0.3333)/2</f>
        <v>5.6666499999999997</v>
      </c>
      <c r="L130" s="47">
        <f t="shared" si="41"/>
        <v>21116.039808000001</v>
      </c>
      <c r="M130" s="268"/>
      <c r="N130" s="782">
        <v>250.5</v>
      </c>
      <c r="O130" s="782">
        <v>282</v>
      </c>
      <c r="P130" s="488">
        <f t="shared" ref="P130" si="50">SUM(N130+O130)</f>
        <v>532.5</v>
      </c>
      <c r="Q130" s="255"/>
      <c r="R130" s="769" t="s">
        <v>867</v>
      </c>
      <c r="S130" s="769" t="s">
        <v>867</v>
      </c>
      <c r="T130" s="784"/>
      <c r="U130" s="513"/>
      <c r="V130" s="530"/>
      <c r="W130" s="516" t="s">
        <v>1</v>
      </c>
      <c r="X130" s="515" t="s">
        <v>1</v>
      </c>
      <c r="Y130" s="514" t="s">
        <v>1</v>
      </c>
      <c r="Z130" s="784"/>
      <c r="AA130" s="784"/>
      <c r="AB130" s="784"/>
      <c r="AC130" s="784"/>
      <c r="AD130" s="784"/>
    </row>
    <row r="131" spans="1:30" x14ac:dyDescent="0.25">
      <c r="A131" s="457" t="s">
        <v>1</v>
      </c>
      <c r="B131" s="6" t="s">
        <v>58</v>
      </c>
      <c r="C131" s="6" t="s">
        <v>290</v>
      </c>
      <c r="D131" s="265"/>
      <c r="E131" s="103"/>
      <c r="F131" s="128"/>
      <c r="G131" s="119"/>
      <c r="H131" s="103"/>
      <c r="I131" s="261"/>
      <c r="J131" s="176"/>
      <c r="K131" s="491">
        <f t="shared" si="47"/>
        <v>0</v>
      </c>
      <c r="L131" s="47">
        <f t="shared" si="41"/>
        <v>0</v>
      </c>
      <c r="M131" s="192"/>
      <c r="N131" s="133"/>
      <c r="O131" s="782"/>
      <c r="P131" s="7">
        <f t="shared" si="43"/>
        <v>0</v>
      </c>
      <c r="Q131" s="57"/>
      <c r="R131" s="769"/>
      <c r="S131" s="767"/>
      <c r="T131" s="265" t="s">
        <v>1</v>
      </c>
      <c r="U131" s="513"/>
      <c r="V131" s="530"/>
      <c r="W131" s="516" t="s">
        <v>1</v>
      </c>
      <c r="X131" s="515" t="s">
        <v>1</v>
      </c>
      <c r="Y131" s="514" t="s">
        <v>1</v>
      </c>
      <c r="Z131" s="182"/>
      <c r="AA131" s="182"/>
      <c r="AB131" s="182"/>
      <c r="AC131" s="182"/>
      <c r="AD131" s="182"/>
    </row>
    <row r="132" spans="1:30" ht="13.8" thickBot="1" x14ac:dyDescent="0.3">
      <c r="A132" s="60"/>
      <c r="B132" s="60" t="s">
        <v>54</v>
      </c>
      <c r="C132" s="60"/>
      <c r="D132" s="166"/>
      <c r="E132" s="109"/>
      <c r="F132" s="110"/>
      <c r="G132" s="122"/>
      <c r="H132" s="109"/>
      <c r="I132" s="110"/>
      <c r="J132" s="122"/>
      <c r="K132" s="50">
        <f>SUM(K117:K131)</f>
        <v>13.666650000000001</v>
      </c>
      <c r="L132" s="93"/>
      <c r="M132" s="196">
        <f>SUM(L117:L131)</f>
        <v>50927.007215999998</v>
      </c>
      <c r="N132" s="48"/>
      <c r="O132" s="48"/>
      <c r="P132" s="48"/>
      <c r="Q132" s="48">
        <f>SUM(P117:P131)</f>
        <v>1839.5</v>
      </c>
      <c r="R132" s="185"/>
      <c r="S132" s="185"/>
      <c r="T132" s="182"/>
      <c r="U132" s="877">
        <v>3303.91</v>
      </c>
      <c r="V132" s="878">
        <f>U132*2</f>
        <v>6607.82</v>
      </c>
      <c r="W132" s="879">
        <f>V132*0.75</f>
        <v>4955.87</v>
      </c>
      <c r="X132" s="880">
        <f>K132</f>
        <v>13.666650000000001</v>
      </c>
      <c r="Y132" s="881">
        <f>X132*W132</f>
        <v>67730.14</v>
      </c>
      <c r="Z132" s="182"/>
      <c r="AA132" s="182"/>
      <c r="AB132" s="182"/>
      <c r="AC132" s="182"/>
      <c r="AD132" s="182"/>
    </row>
    <row r="133" spans="1:30" x14ac:dyDescent="0.25">
      <c r="A133" s="262" t="s">
        <v>320</v>
      </c>
      <c r="B133" s="6" t="s">
        <v>395</v>
      </c>
      <c r="C133" s="6" t="s">
        <v>275</v>
      </c>
      <c r="D133" s="36">
        <v>24</v>
      </c>
      <c r="E133" s="103">
        <v>24</v>
      </c>
      <c r="F133" s="261">
        <v>0</v>
      </c>
      <c r="G133" s="119">
        <v>0</v>
      </c>
      <c r="H133" s="103">
        <v>22</v>
      </c>
      <c r="I133" s="261">
        <v>0</v>
      </c>
      <c r="J133" s="119">
        <v>1</v>
      </c>
      <c r="K133" s="491">
        <f>(SUM(E133+H133)+((F133+I133)*0.6667)+(G133+J133)*0.3333)/2</f>
        <v>23.166650000000001</v>
      </c>
      <c r="L133" s="47">
        <f t="shared" ref="L133:L139" si="51">$B$266*K133</f>
        <v>86327.531013</v>
      </c>
      <c r="M133" s="192"/>
      <c r="N133" s="782">
        <v>257.5</v>
      </c>
      <c r="O133" s="7">
        <v>1533</v>
      </c>
      <c r="P133" s="7">
        <f t="shared" ref="P133:P139" si="52">SUM(N133+O133)</f>
        <v>1790.5</v>
      </c>
      <c r="Q133" s="57"/>
      <c r="R133" s="767" t="s">
        <v>867</v>
      </c>
      <c r="S133" s="769" t="s">
        <v>867</v>
      </c>
      <c r="T133" s="182"/>
      <c r="U133" s="505"/>
      <c r="V133" s="558"/>
      <c r="W133" s="506"/>
      <c r="X133" s="507"/>
      <c r="Y133" s="553"/>
      <c r="Z133" s="182"/>
      <c r="AA133" s="182"/>
      <c r="AB133" s="182"/>
      <c r="AC133" s="182"/>
      <c r="AD133" s="182"/>
    </row>
    <row r="134" spans="1:30" x14ac:dyDescent="0.25">
      <c r="A134" s="56"/>
      <c r="B134" s="75" t="s">
        <v>402</v>
      </c>
      <c r="C134" s="75" t="s">
        <v>274</v>
      </c>
      <c r="D134" s="165">
        <v>7</v>
      </c>
      <c r="E134" s="107">
        <v>7</v>
      </c>
      <c r="F134" s="108">
        <v>0</v>
      </c>
      <c r="G134" s="121">
        <v>0</v>
      </c>
      <c r="H134" s="107">
        <v>7</v>
      </c>
      <c r="I134" s="108">
        <v>0</v>
      </c>
      <c r="J134" s="121">
        <v>0</v>
      </c>
      <c r="K134" s="474">
        <f t="shared" ref="K134:K135" si="53">(SUM(E134+H134)+((F134+I134)*0.6667)+(G134+J134)*0.3333)/2</f>
        <v>7</v>
      </c>
      <c r="L134" s="47">
        <f t="shared" si="51"/>
        <v>26084.596482000001</v>
      </c>
      <c r="M134" s="192"/>
      <c r="N134" s="782">
        <v>2.5</v>
      </c>
      <c r="O134" s="7">
        <f>381+68</f>
        <v>449</v>
      </c>
      <c r="P134" s="488">
        <f t="shared" si="52"/>
        <v>451.5</v>
      </c>
      <c r="Q134" s="57"/>
      <c r="R134" s="767" t="s">
        <v>867</v>
      </c>
      <c r="S134" s="769" t="s">
        <v>867</v>
      </c>
      <c r="T134" s="173"/>
      <c r="U134" s="508"/>
      <c r="V134" s="531"/>
      <c r="W134" s="509"/>
      <c r="X134" s="510"/>
      <c r="Y134" s="511"/>
      <c r="Z134" s="182"/>
      <c r="AA134" s="182"/>
      <c r="AB134" s="182"/>
      <c r="AC134" s="182"/>
      <c r="AD134" s="182"/>
    </row>
    <row r="135" spans="1:30" s="247" customFormat="1" x14ac:dyDescent="0.25">
      <c r="A135" s="457"/>
      <c r="B135" s="75" t="s">
        <v>421</v>
      </c>
      <c r="C135" s="75" t="s">
        <v>246</v>
      </c>
      <c r="D135" s="264"/>
      <c r="E135" s="107"/>
      <c r="F135" s="108"/>
      <c r="G135" s="121"/>
      <c r="H135" s="107"/>
      <c r="I135" s="108"/>
      <c r="J135" s="121"/>
      <c r="K135" s="474">
        <f t="shared" si="53"/>
        <v>0</v>
      </c>
      <c r="L135" s="47">
        <f t="shared" si="51"/>
        <v>0</v>
      </c>
      <c r="M135" s="268"/>
      <c r="N135" s="782"/>
      <c r="O135" s="249"/>
      <c r="P135" s="249">
        <f>SUM(N135+O135)</f>
        <v>0</v>
      </c>
      <c r="Q135" s="255"/>
      <c r="R135" s="767"/>
      <c r="S135" s="767"/>
      <c r="T135" s="173"/>
      <c r="U135" s="508"/>
      <c r="V135" s="531"/>
      <c r="W135" s="509"/>
      <c r="X135" s="510"/>
      <c r="Y135" s="512"/>
      <c r="Z135" s="182"/>
      <c r="AA135" s="182"/>
      <c r="AB135" s="182"/>
      <c r="AC135" s="182"/>
      <c r="AD135" s="182"/>
    </row>
    <row r="136" spans="1:30" x14ac:dyDescent="0.25">
      <c r="A136" s="56"/>
      <c r="B136" s="6" t="s">
        <v>401</v>
      </c>
      <c r="C136" s="6" t="s">
        <v>276</v>
      </c>
      <c r="D136" s="142"/>
      <c r="E136" s="103"/>
      <c r="F136" s="128"/>
      <c r="G136" s="119"/>
      <c r="H136" s="103"/>
      <c r="I136" s="261"/>
      <c r="J136" s="119"/>
      <c r="K136" s="491">
        <f t="shared" ref="K136:K137" si="54">(SUM(E136+H136)+((F136+I136)*0.6667)+(G136+J136)*0.3333)/2</f>
        <v>0</v>
      </c>
      <c r="L136" s="47">
        <f t="shared" si="51"/>
        <v>0</v>
      </c>
      <c r="M136" s="192"/>
      <c r="N136" s="782"/>
      <c r="O136" s="7"/>
      <c r="P136" s="7">
        <f t="shared" si="52"/>
        <v>0</v>
      </c>
      <c r="Q136" s="57"/>
      <c r="R136" s="767"/>
      <c r="S136" s="173"/>
      <c r="T136" s="182"/>
      <c r="U136" s="513"/>
      <c r="V136" s="530"/>
      <c r="W136" s="516" t="s">
        <v>1</v>
      </c>
      <c r="X136" s="515" t="s">
        <v>1</v>
      </c>
      <c r="Y136" s="514" t="s">
        <v>1</v>
      </c>
      <c r="Z136" s="182"/>
      <c r="AA136" s="182"/>
      <c r="AB136" s="182"/>
      <c r="AC136" s="182"/>
      <c r="AD136" s="182"/>
    </row>
    <row r="137" spans="1:30" x14ac:dyDescent="0.25">
      <c r="A137" s="56"/>
      <c r="B137" s="6" t="s">
        <v>400</v>
      </c>
      <c r="C137" s="6" t="s">
        <v>278</v>
      </c>
      <c r="D137" s="490">
        <v>18</v>
      </c>
      <c r="E137" s="103">
        <v>9</v>
      </c>
      <c r="F137" s="261">
        <v>1</v>
      </c>
      <c r="G137" s="119">
        <v>0</v>
      </c>
      <c r="H137" s="103">
        <v>9</v>
      </c>
      <c r="I137" s="261">
        <v>0</v>
      </c>
      <c r="J137" s="119">
        <v>0</v>
      </c>
      <c r="K137" s="491">
        <f t="shared" si="54"/>
        <v>9.3333499999999994</v>
      </c>
      <c r="L137" s="47">
        <f t="shared" si="51"/>
        <v>34779.524082000004</v>
      </c>
      <c r="M137" s="192"/>
      <c r="N137" s="782">
        <v>0</v>
      </c>
      <c r="O137" s="7">
        <v>1060.25</v>
      </c>
      <c r="P137" s="782">
        <f t="shared" si="52"/>
        <v>1060.25</v>
      </c>
      <c r="Q137" s="57"/>
      <c r="R137" s="767" t="s">
        <v>867</v>
      </c>
      <c r="S137" s="767" t="s">
        <v>867</v>
      </c>
      <c r="T137" s="182"/>
      <c r="U137" s="508"/>
      <c r="V137" s="531"/>
      <c r="W137" s="509"/>
      <c r="X137" s="510"/>
      <c r="Y137" s="511"/>
      <c r="Z137" s="182"/>
      <c r="AA137" s="182"/>
      <c r="AB137" s="182"/>
      <c r="AC137" s="182"/>
      <c r="AD137" s="182"/>
    </row>
    <row r="138" spans="1:30" x14ac:dyDescent="0.25">
      <c r="A138" s="56"/>
      <c r="B138" s="75" t="s">
        <v>399</v>
      </c>
      <c r="C138" s="75" t="s">
        <v>398</v>
      </c>
      <c r="D138" s="264">
        <v>11</v>
      </c>
      <c r="E138" s="111">
        <v>9</v>
      </c>
      <c r="F138" s="112">
        <v>0</v>
      </c>
      <c r="G138" s="123">
        <v>1</v>
      </c>
      <c r="H138" s="111">
        <v>7</v>
      </c>
      <c r="I138" s="112">
        <v>0</v>
      </c>
      <c r="J138" s="123">
        <v>2</v>
      </c>
      <c r="K138" s="474">
        <f>(SUM(E138+H138)+((F138+I138)*0.6667)+(G138+J138)*0.3333)/2</f>
        <v>8.4999500000000001</v>
      </c>
      <c r="L138" s="47">
        <f t="shared" si="51"/>
        <v>31673.966552000002</v>
      </c>
      <c r="M138" s="192"/>
      <c r="N138" s="7">
        <v>0</v>
      </c>
      <c r="O138" s="7">
        <v>2645.5</v>
      </c>
      <c r="P138" s="7">
        <f t="shared" si="52"/>
        <v>2645.5</v>
      </c>
      <c r="Q138" s="57"/>
      <c r="R138" s="769" t="s">
        <v>867</v>
      </c>
      <c r="S138" s="769" t="s">
        <v>867</v>
      </c>
      <c r="T138" s="182"/>
      <c r="U138" s="508"/>
      <c r="V138" s="531"/>
      <c r="W138" s="509"/>
      <c r="X138" s="510"/>
      <c r="Y138" s="511"/>
      <c r="Z138" s="182"/>
      <c r="AA138" s="182"/>
      <c r="AB138" s="182"/>
      <c r="AC138" s="182"/>
      <c r="AD138" s="182"/>
    </row>
    <row r="139" spans="1:30" x14ac:dyDescent="0.25">
      <c r="A139" s="56"/>
      <c r="B139" s="6" t="s">
        <v>397</v>
      </c>
      <c r="C139" s="6" t="s">
        <v>385</v>
      </c>
      <c r="D139" s="36">
        <v>3</v>
      </c>
      <c r="E139" s="103">
        <v>3</v>
      </c>
      <c r="F139" s="131">
        <v>0</v>
      </c>
      <c r="G139" s="119">
        <v>0</v>
      </c>
      <c r="H139" s="103">
        <v>3</v>
      </c>
      <c r="I139" s="493">
        <v>0</v>
      </c>
      <c r="J139" s="119">
        <v>0</v>
      </c>
      <c r="K139" s="491">
        <f>(SUM(E139+H139)+((F139+I139)*0.6667)+(G139+J139)*0.3333)/2</f>
        <v>3</v>
      </c>
      <c r="L139" s="47">
        <f t="shared" si="51"/>
        <v>11179.112778000001</v>
      </c>
      <c r="M139" s="192"/>
      <c r="N139" s="782">
        <v>0</v>
      </c>
      <c r="O139" s="7">
        <v>485.6</v>
      </c>
      <c r="P139" s="7">
        <f t="shared" si="52"/>
        <v>485.6</v>
      </c>
      <c r="Q139" s="57"/>
      <c r="R139" s="767" t="s">
        <v>867</v>
      </c>
      <c r="S139" s="767" t="s">
        <v>867</v>
      </c>
      <c r="T139" s="182"/>
      <c r="U139" s="508"/>
      <c r="V139" s="531"/>
      <c r="W139" s="509"/>
      <c r="X139" s="510"/>
      <c r="Y139" s="511"/>
      <c r="Z139" s="182"/>
      <c r="AA139" s="182"/>
      <c r="AB139" s="182"/>
      <c r="AC139" s="182"/>
      <c r="AD139" s="182"/>
    </row>
    <row r="140" spans="1:30" ht="13.8" thickBot="1" x14ac:dyDescent="0.3">
      <c r="A140" s="60"/>
      <c r="B140" s="60" t="s">
        <v>54</v>
      </c>
      <c r="C140" s="60"/>
      <c r="D140" s="166"/>
      <c r="E140" s="109"/>
      <c r="F140" s="110"/>
      <c r="G140" s="122"/>
      <c r="H140" s="109"/>
      <c r="I140" s="110"/>
      <c r="J140" s="122"/>
      <c r="K140" s="50">
        <f>SUM(K133:K139)</f>
        <v>50.999949999999998</v>
      </c>
      <c r="L140" s="93"/>
      <c r="M140" s="193">
        <f>SUM(L133:L139)</f>
        <v>190044.73090699999</v>
      </c>
      <c r="N140" s="48"/>
      <c r="O140" s="48"/>
      <c r="P140" s="48"/>
      <c r="Q140" s="48">
        <f>SUM(P133:P139)</f>
        <v>6433.35</v>
      </c>
      <c r="R140" s="185"/>
      <c r="S140" s="185"/>
      <c r="T140" s="182"/>
      <c r="U140" s="877">
        <v>2406.54</v>
      </c>
      <c r="V140" s="878">
        <f>U140*2</f>
        <v>4813.08</v>
      </c>
      <c r="W140" s="879">
        <f>V140*0.75</f>
        <v>3609.81</v>
      </c>
      <c r="X140" s="880">
        <f>K140</f>
        <v>50.999949999999998</v>
      </c>
      <c r="Y140" s="881">
        <f>X140*W140</f>
        <v>184100.13</v>
      </c>
      <c r="Z140" s="182"/>
      <c r="AA140" s="182"/>
      <c r="AB140" s="182"/>
      <c r="AC140" s="182"/>
      <c r="AD140" s="182"/>
    </row>
    <row r="141" spans="1:30" x14ac:dyDescent="0.25">
      <c r="A141" s="457" t="s">
        <v>213</v>
      </c>
      <c r="B141" s="75" t="s">
        <v>6</v>
      </c>
      <c r="C141" s="75" t="s">
        <v>403</v>
      </c>
      <c r="D141" s="264"/>
      <c r="E141" s="107">
        <v>12</v>
      </c>
      <c r="F141" s="108">
        <v>0</v>
      </c>
      <c r="G141" s="121">
        <v>0</v>
      </c>
      <c r="H141" s="107">
        <v>10</v>
      </c>
      <c r="I141" s="108">
        <v>0</v>
      </c>
      <c r="J141" s="121">
        <v>0</v>
      </c>
      <c r="K141" s="474">
        <f>(SUM(E141+H141)+((F141+I141)*0.6667)+(G141+J141)*0.3333)/2</f>
        <v>11</v>
      </c>
      <c r="L141" s="47">
        <f t="shared" ref="L141:L146" si="55">$B$266*K141</f>
        <v>40990.080185999999</v>
      </c>
      <c r="M141" s="192"/>
      <c r="N141" s="7">
        <v>4164</v>
      </c>
      <c r="O141" s="782">
        <v>3179</v>
      </c>
      <c r="P141" s="7">
        <f t="shared" ref="P141:P146" si="56">SUM(N141+O141)</f>
        <v>7343</v>
      </c>
      <c r="Q141" s="57"/>
      <c r="R141" s="769" t="s">
        <v>867</v>
      </c>
      <c r="S141" s="769" t="s">
        <v>867</v>
      </c>
      <c r="T141" s="265" t="s">
        <v>1</v>
      </c>
      <c r="U141" s="505"/>
      <c r="V141" s="558"/>
      <c r="W141" s="506"/>
      <c r="X141" s="507"/>
      <c r="Y141" s="553"/>
      <c r="Z141" s="182"/>
      <c r="AA141" s="182"/>
      <c r="AB141" s="182"/>
      <c r="AC141" s="182"/>
      <c r="AD141" s="182"/>
    </row>
    <row r="142" spans="1:30" s="247" customFormat="1" x14ac:dyDescent="0.25">
      <c r="A142" s="262" t="s">
        <v>1</v>
      </c>
      <c r="B142" s="262" t="s">
        <v>582</v>
      </c>
      <c r="C142" s="262" t="s">
        <v>273</v>
      </c>
      <c r="D142" s="265"/>
      <c r="E142" s="174"/>
      <c r="F142" s="175"/>
      <c r="G142" s="176"/>
      <c r="H142" s="174"/>
      <c r="I142" s="261"/>
      <c r="J142" s="119"/>
      <c r="K142" s="491">
        <f t="shared" ref="K142:K146" si="57">(SUM(E142+H142)+((F142+I142)*0.6667)+(G142+J142)*0.3333)/2</f>
        <v>0</v>
      </c>
      <c r="L142" s="47">
        <f t="shared" si="55"/>
        <v>0</v>
      </c>
      <c r="M142" s="268"/>
      <c r="N142" s="249"/>
      <c r="O142" s="782"/>
      <c r="P142" s="249">
        <f t="shared" si="56"/>
        <v>0</v>
      </c>
      <c r="Q142" s="255"/>
      <c r="R142" s="769"/>
      <c r="S142" s="769"/>
      <c r="T142" s="262"/>
      <c r="U142" s="508"/>
      <c r="V142" s="531"/>
      <c r="W142" s="509"/>
      <c r="X142" s="510"/>
      <c r="Y142" s="512"/>
      <c r="Z142" s="182"/>
      <c r="AA142" s="182"/>
      <c r="AB142" s="182"/>
      <c r="AC142" s="182"/>
      <c r="AD142" s="182"/>
    </row>
    <row r="143" spans="1:30" s="864" customFormat="1" x14ac:dyDescent="0.25">
      <c r="A143" s="457" t="s">
        <v>1</v>
      </c>
      <c r="B143" s="262" t="s">
        <v>872</v>
      </c>
      <c r="C143" s="262"/>
      <c r="D143" s="265"/>
      <c r="E143" s="174">
        <v>1</v>
      </c>
      <c r="F143" s="175">
        <v>0</v>
      </c>
      <c r="G143" s="176">
        <v>0</v>
      </c>
      <c r="H143" s="174">
        <v>1</v>
      </c>
      <c r="I143" s="175">
        <v>0</v>
      </c>
      <c r="J143" s="119">
        <v>0</v>
      </c>
      <c r="K143" s="491">
        <f t="shared" ref="K143" si="58">(SUM(E143+H143)+((F143+I143)*0.6667)+(G143+J143)*0.3333)/2</f>
        <v>1</v>
      </c>
      <c r="L143" s="47">
        <f t="shared" si="55"/>
        <v>3726.3709260000001</v>
      </c>
      <c r="M143" s="268"/>
      <c r="N143" s="488">
        <v>359.9</v>
      </c>
      <c r="O143" s="782">
        <v>413</v>
      </c>
      <c r="P143" s="488">
        <f t="shared" si="56"/>
        <v>772.9</v>
      </c>
      <c r="Q143" s="255"/>
      <c r="R143" s="769" t="s">
        <v>867</v>
      </c>
      <c r="S143" s="769" t="s">
        <v>867</v>
      </c>
      <c r="T143" s="262"/>
      <c r="U143" s="508"/>
      <c r="V143" s="531"/>
      <c r="W143" s="509"/>
      <c r="X143" s="510"/>
      <c r="Y143" s="512"/>
      <c r="Z143" s="784"/>
      <c r="AA143" s="784"/>
      <c r="AB143" s="784"/>
      <c r="AC143" s="784"/>
      <c r="AD143" s="784"/>
    </row>
    <row r="144" spans="1:30" x14ac:dyDescent="0.25">
      <c r="A144" s="56"/>
      <c r="B144" s="6" t="s">
        <v>404</v>
      </c>
      <c r="C144" s="6" t="s">
        <v>253</v>
      </c>
      <c r="D144" s="265"/>
      <c r="E144" s="174"/>
      <c r="F144" s="175"/>
      <c r="G144" s="176"/>
      <c r="H144" s="174"/>
      <c r="I144" s="261"/>
      <c r="J144" s="119"/>
      <c r="K144" s="491">
        <f t="shared" si="57"/>
        <v>0</v>
      </c>
      <c r="L144" s="47">
        <f t="shared" si="55"/>
        <v>0</v>
      </c>
      <c r="M144" s="192"/>
      <c r="N144" s="7"/>
      <c r="O144" s="782"/>
      <c r="P144" s="7">
        <f t="shared" si="56"/>
        <v>0</v>
      </c>
      <c r="Q144" s="57"/>
      <c r="R144" s="769"/>
      <c r="S144" s="769"/>
      <c r="T144" s="182"/>
      <c r="U144" s="513"/>
      <c r="V144" s="530"/>
      <c r="W144" s="516"/>
      <c r="X144" s="515"/>
      <c r="Y144" s="514"/>
      <c r="Z144" s="182"/>
      <c r="AA144" s="182"/>
      <c r="AB144" s="182"/>
      <c r="AC144" s="182"/>
      <c r="AD144" s="182"/>
    </row>
    <row r="145" spans="1:30" s="247" customFormat="1" x14ac:dyDescent="0.25">
      <c r="A145" s="949" t="s">
        <v>1</v>
      </c>
      <c r="B145" s="262" t="s">
        <v>606</v>
      </c>
      <c r="C145" s="248" t="s">
        <v>283</v>
      </c>
      <c r="D145" s="265"/>
      <c r="E145" s="174"/>
      <c r="F145" s="175"/>
      <c r="G145" s="176"/>
      <c r="H145" s="174"/>
      <c r="I145" s="261"/>
      <c r="J145" s="119"/>
      <c r="K145" s="491">
        <f t="shared" si="57"/>
        <v>0</v>
      </c>
      <c r="L145" s="47">
        <f t="shared" si="55"/>
        <v>0</v>
      </c>
      <c r="M145" s="268"/>
      <c r="N145" s="249"/>
      <c r="O145" s="782"/>
      <c r="P145" s="249">
        <f t="shared" si="56"/>
        <v>0</v>
      </c>
      <c r="Q145" s="255"/>
      <c r="R145" s="769"/>
      <c r="S145" s="769"/>
      <c r="T145" s="182"/>
      <c r="U145" s="508"/>
      <c r="V145" s="531"/>
      <c r="W145" s="509"/>
      <c r="X145" s="510"/>
      <c r="Y145" s="512"/>
      <c r="Z145" s="182"/>
      <c r="AA145" s="182"/>
      <c r="AB145" s="182"/>
      <c r="AC145" s="182"/>
      <c r="AD145" s="182"/>
    </row>
    <row r="146" spans="1:30" x14ac:dyDescent="0.25">
      <c r="A146" s="56"/>
      <c r="B146" s="6" t="s">
        <v>405</v>
      </c>
      <c r="C146" s="6" t="s">
        <v>248</v>
      </c>
      <c r="D146" s="265"/>
      <c r="E146" s="174">
        <v>7</v>
      </c>
      <c r="F146" s="175">
        <v>0</v>
      </c>
      <c r="G146" s="176">
        <v>0</v>
      </c>
      <c r="H146" s="174">
        <v>6</v>
      </c>
      <c r="I146" s="175">
        <v>0</v>
      </c>
      <c r="J146" s="176">
        <v>0</v>
      </c>
      <c r="K146" s="491">
        <f t="shared" si="57"/>
        <v>6.5</v>
      </c>
      <c r="L146" s="483">
        <f t="shared" si="55"/>
        <v>24221.411018999999</v>
      </c>
      <c r="M146" s="362"/>
      <c r="N146" s="133">
        <v>608.4</v>
      </c>
      <c r="O146" s="782">
        <v>544.79999999999995</v>
      </c>
      <c r="P146" s="133">
        <f t="shared" si="56"/>
        <v>1153.2</v>
      </c>
      <c r="Q146" s="255"/>
      <c r="R146" s="769" t="s">
        <v>867</v>
      </c>
      <c r="S146" s="769" t="s">
        <v>867</v>
      </c>
      <c r="T146" s="265" t="s">
        <v>1</v>
      </c>
      <c r="U146" s="513"/>
      <c r="V146" s="530"/>
      <c r="W146" s="516" t="s">
        <v>1</v>
      </c>
      <c r="X146" s="515" t="s">
        <v>1</v>
      </c>
      <c r="Y146" s="514" t="s">
        <v>1</v>
      </c>
      <c r="Z146" s="182"/>
      <c r="AA146" s="182"/>
      <c r="AB146" s="182"/>
      <c r="AC146" s="182"/>
      <c r="AD146" s="182"/>
    </row>
    <row r="147" spans="1:30" ht="13.8" thickBot="1" x14ac:dyDescent="0.3">
      <c r="A147" s="60"/>
      <c r="B147" s="60" t="s">
        <v>54</v>
      </c>
      <c r="C147" s="60"/>
      <c r="D147" s="166"/>
      <c r="E147" s="109"/>
      <c r="F147" s="110"/>
      <c r="G147" s="122"/>
      <c r="H147" s="109"/>
      <c r="I147" s="110"/>
      <c r="J147" s="122"/>
      <c r="K147" s="50">
        <f>SUM(K141:K146)</f>
        <v>18.5</v>
      </c>
      <c r="L147" s="93"/>
      <c r="M147" s="193">
        <f>SUM(L141:L146)</f>
        <v>68937.862131000002</v>
      </c>
      <c r="N147" s="48"/>
      <c r="O147" s="48"/>
      <c r="P147" s="48"/>
      <c r="Q147" s="48">
        <f>SUM(P141:P146)</f>
        <v>9269.1</v>
      </c>
      <c r="R147" s="185"/>
      <c r="S147" s="185"/>
      <c r="T147" s="182"/>
      <c r="U147" s="877">
        <v>2804.14</v>
      </c>
      <c r="V147" s="878">
        <f>U147*2</f>
        <v>5608.28</v>
      </c>
      <c r="W147" s="879">
        <f>V147*0.75</f>
        <v>4206.21</v>
      </c>
      <c r="X147" s="880">
        <f>K147</f>
        <v>18.5</v>
      </c>
      <c r="Y147" s="881">
        <f>X147*W147</f>
        <v>77814.89</v>
      </c>
      <c r="Z147" s="182"/>
      <c r="AA147" s="182"/>
      <c r="AB147" s="182"/>
      <c r="AC147" s="182"/>
      <c r="AD147" s="182"/>
    </row>
    <row r="148" spans="1:30" x14ac:dyDescent="0.25">
      <c r="A148" s="942" t="s">
        <v>312</v>
      </c>
      <c r="B148" s="6" t="s">
        <v>401</v>
      </c>
      <c r="C148" s="6" t="s">
        <v>276</v>
      </c>
      <c r="D148" s="36">
        <v>8</v>
      </c>
      <c r="E148" s="103">
        <v>7</v>
      </c>
      <c r="F148" s="104">
        <v>1</v>
      </c>
      <c r="G148" s="119">
        <v>0</v>
      </c>
      <c r="H148" s="103">
        <v>7</v>
      </c>
      <c r="I148" s="261">
        <v>0</v>
      </c>
      <c r="J148" s="119">
        <v>0</v>
      </c>
      <c r="K148" s="491">
        <f t="shared" ref="K148:K153" si="59">(SUM(E148+H148)+((F148+I148)*0.6667)+(G148+J148)*0.3333)/2</f>
        <v>7.3333500000000003</v>
      </c>
      <c r="L148" s="47">
        <f t="shared" ref="L148:L157" si="60">$B$266*K148</f>
        <v>27326.782230000001</v>
      </c>
      <c r="M148" s="192"/>
      <c r="N148" s="7">
        <v>568.16999999999996</v>
      </c>
      <c r="O148" s="7">
        <v>983.33</v>
      </c>
      <c r="P148" s="7">
        <f t="shared" ref="P148:P157" si="61">SUM(N148+O148)</f>
        <v>1551.5</v>
      </c>
      <c r="Q148" s="57"/>
      <c r="R148" s="185" t="s">
        <v>867</v>
      </c>
      <c r="S148" s="185" t="s">
        <v>867</v>
      </c>
      <c r="T148" s="182"/>
      <c r="U148" s="505"/>
      <c r="V148" s="558"/>
      <c r="W148" s="506"/>
      <c r="X148" s="507"/>
      <c r="Y148" s="553"/>
      <c r="Z148" s="182"/>
      <c r="AA148" s="182"/>
      <c r="AB148" s="182"/>
      <c r="AC148" s="182"/>
      <c r="AD148" s="182"/>
    </row>
    <row r="149" spans="1:30" s="247" customFormat="1" x14ac:dyDescent="0.25">
      <c r="A149" s="457"/>
      <c r="B149" s="248" t="s">
        <v>605</v>
      </c>
      <c r="C149" s="248"/>
      <c r="D149" s="252"/>
      <c r="E149" s="103"/>
      <c r="F149" s="104"/>
      <c r="G149" s="119"/>
      <c r="H149" s="103"/>
      <c r="I149" s="261"/>
      <c r="J149" s="119"/>
      <c r="K149" s="491">
        <f t="shared" si="59"/>
        <v>0</v>
      </c>
      <c r="L149" s="47">
        <f t="shared" si="60"/>
        <v>0</v>
      </c>
      <c r="M149" s="268"/>
      <c r="N149" s="249"/>
      <c r="O149" s="249"/>
      <c r="P149" s="488">
        <f t="shared" si="61"/>
        <v>0</v>
      </c>
      <c r="Q149" s="255"/>
      <c r="R149" s="173"/>
      <c r="S149" s="185"/>
      <c r="T149" s="182"/>
      <c r="U149" s="508"/>
      <c r="V149" s="531"/>
      <c r="W149" s="509"/>
      <c r="X149" s="510"/>
      <c r="Y149" s="511"/>
      <c r="Z149" s="182"/>
      <c r="AA149" s="182"/>
      <c r="AB149" s="182"/>
      <c r="AC149" s="182"/>
      <c r="AD149" s="182"/>
    </row>
    <row r="150" spans="1:30" s="247" customFormat="1" x14ac:dyDescent="0.25">
      <c r="A150" s="262" t="s">
        <v>1</v>
      </c>
      <c r="B150" s="248" t="s">
        <v>604</v>
      </c>
      <c r="C150" s="248"/>
      <c r="D150" s="252"/>
      <c r="E150" s="103"/>
      <c r="F150" s="104"/>
      <c r="G150" s="119"/>
      <c r="H150" s="103"/>
      <c r="I150" s="261"/>
      <c r="J150" s="119"/>
      <c r="K150" s="491">
        <f t="shared" si="59"/>
        <v>0</v>
      </c>
      <c r="L150" s="47">
        <f t="shared" si="60"/>
        <v>0</v>
      </c>
      <c r="M150" s="268"/>
      <c r="N150" s="249"/>
      <c r="O150" s="249"/>
      <c r="P150" s="488">
        <f t="shared" si="61"/>
        <v>0</v>
      </c>
      <c r="Q150" s="255"/>
      <c r="R150" s="173"/>
      <c r="S150" s="185"/>
      <c r="T150" s="182"/>
      <c r="U150" s="508"/>
      <c r="V150" s="531"/>
      <c r="W150" s="509"/>
      <c r="X150" s="510"/>
      <c r="Y150" s="512"/>
      <c r="Z150" s="182"/>
      <c r="AA150" s="182"/>
      <c r="AB150" s="182"/>
      <c r="AC150" s="182"/>
      <c r="AD150" s="182"/>
    </row>
    <row r="151" spans="1:30" s="247" customFormat="1" x14ac:dyDescent="0.25">
      <c r="A151" s="262" t="s">
        <v>1</v>
      </c>
      <c r="B151" s="262" t="s">
        <v>452</v>
      </c>
      <c r="C151" s="248" t="s">
        <v>453</v>
      </c>
      <c r="D151" s="252">
        <v>2</v>
      </c>
      <c r="E151" s="103">
        <v>2</v>
      </c>
      <c r="F151" s="261">
        <v>0</v>
      </c>
      <c r="G151" s="119">
        <v>0</v>
      </c>
      <c r="H151" s="103">
        <v>0</v>
      </c>
      <c r="I151" s="261">
        <v>0</v>
      </c>
      <c r="J151" s="119">
        <v>0</v>
      </c>
      <c r="K151" s="491">
        <f t="shared" si="59"/>
        <v>1</v>
      </c>
      <c r="L151" s="47">
        <f t="shared" si="60"/>
        <v>3726.3709260000001</v>
      </c>
      <c r="M151" s="268"/>
      <c r="N151" s="249">
        <v>0</v>
      </c>
      <c r="O151" s="249">
        <v>0</v>
      </c>
      <c r="P151" s="249">
        <f t="shared" si="61"/>
        <v>0</v>
      </c>
      <c r="Q151" s="255"/>
      <c r="R151" s="173" t="s">
        <v>818</v>
      </c>
      <c r="S151" s="173" t="s">
        <v>818</v>
      </c>
      <c r="T151" s="182"/>
      <c r="U151" s="513"/>
      <c r="V151" s="530"/>
      <c r="W151" s="516" t="s">
        <v>1</v>
      </c>
      <c r="X151" s="515" t="s">
        <v>1</v>
      </c>
      <c r="Y151" s="514" t="s">
        <v>1</v>
      </c>
      <c r="Z151" s="182"/>
      <c r="AA151" s="182"/>
      <c r="AB151" s="182"/>
      <c r="AC151" s="182"/>
      <c r="AD151" s="182"/>
    </row>
    <row r="152" spans="1:30" s="864" customFormat="1" x14ac:dyDescent="0.25">
      <c r="A152" s="457" t="s">
        <v>1</v>
      </c>
      <c r="B152" s="262" t="s">
        <v>602</v>
      </c>
      <c r="C152" s="866" t="s">
        <v>832</v>
      </c>
      <c r="D152" s="490">
        <v>1</v>
      </c>
      <c r="E152" s="103">
        <v>1</v>
      </c>
      <c r="F152" s="261">
        <v>0</v>
      </c>
      <c r="G152" s="119">
        <v>0</v>
      </c>
      <c r="H152" s="103">
        <v>1</v>
      </c>
      <c r="I152" s="261">
        <v>0</v>
      </c>
      <c r="J152" s="119">
        <v>0</v>
      </c>
      <c r="K152" s="491">
        <f t="shared" ref="K152" si="62">(SUM(E152+H152)+((F152+I152)*0.6667)+(G152+J152)*0.3333)/2</f>
        <v>1</v>
      </c>
      <c r="L152" s="47">
        <f t="shared" si="60"/>
        <v>3726.3709260000001</v>
      </c>
      <c r="M152" s="268"/>
      <c r="N152" s="488">
        <v>198</v>
      </c>
      <c r="O152" s="488">
        <v>484</v>
      </c>
      <c r="P152" s="488">
        <f t="shared" ref="P152" si="63">SUM(N152+O152)</f>
        <v>682</v>
      </c>
      <c r="Q152" s="255"/>
      <c r="R152" s="767" t="s">
        <v>867</v>
      </c>
      <c r="S152" s="767" t="s">
        <v>867</v>
      </c>
      <c r="T152" s="784"/>
      <c r="U152" s="513"/>
      <c r="V152" s="530"/>
      <c r="W152" s="516"/>
      <c r="X152" s="515"/>
      <c r="Y152" s="514"/>
      <c r="Z152" s="784"/>
      <c r="AA152" s="784"/>
      <c r="AB152" s="784"/>
      <c r="AC152" s="784"/>
      <c r="AD152" s="784"/>
    </row>
    <row r="153" spans="1:30" x14ac:dyDescent="0.25">
      <c r="A153" s="76" t="s">
        <v>1</v>
      </c>
      <c r="B153" s="6" t="s">
        <v>406</v>
      </c>
      <c r="C153" s="6" t="s">
        <v>258</v>
      </c>
      <c r="D153" s="36">
        <v>45</v>
      </c>
      <c r="E153" s="103">
        <v>43</v>
      </c>
      <c r="F153" s="261">
        <v>2</v>
      </c>
      <c r="G153" s="119">
        <v>0</v>
      </c>
      <c r="H153" s="103">
        <v>43</v>
      </c>
      <c r="I153" s="261">
        <v>0</v>
      </c>
      <c r="J153" s="119">
        <v>0</v>
      </c>
      <c r="K153" s="491">
        <f t="shared" si="59"/>
        <v>43.666699999999999</v>
      </c>
      <c r="L153" s="47">
        <f t="shared" si="60"/>
        <v>162718.321314</v>
      </c>
      <c r="M153" s="192"/>
      <c r="N153" s="7">
        <v>1599</v>
      </c>
      <c r="O153" s="7">
        <v>3338.4</v>
      </c>
      <c r="P153" s="7">
        <f t="shared" si="61"/>
        <v>4937.3999999999996</v>
      </c>
      <c r="Q153" s="57"/>
      <c r="R153" s="769" t="s">
        <v>867</v>
      </c>
      <c r="S153" s="769" t="s">
        <v>867</v>
      </c>
      <c r="T153" s="262"/>
      <c r="U153" s="508"/>
      <c r="V153" s="531"/>
      <c r="W153" s="509"/>
      <c r="X153" s="510"/>
      <c r="Y153" s="511"/>
      <c r="Z153" s="182"/>
      <c r="AA153" s="182"/>
      <c r="AB153" s="182"/>
      <c r="AC153" s="182"/>
      <c r="AD153" s="182"/>
    </row>
    <row r="154" spans="1:30" x14ac:dyDescent="0.25">
      <c r="A154" s="56"/>
      <c r="B154" s="75" t="s">
        <v>407</v>
      </c>
      <c r="C154" s="75" t="s">
        <v>294</v>
      </c>
      <c r="D154" s="264">
        <v>7</v>
      </c>
      <c r="E154" s="111">
        <v>7</v>
      </c>
      <c r="F154" s="112">
        <v>0</v>
      </c>
      <c r="G154" s="123">
        <v>0</v>
      </c>
      <c r="H154" s="111">
        <v>7</v>
      </c>
      <c r="I154" s="112">
        <v>0</v>
      </c>
      <c r="J154" s="123">
        <v>0</v>
      </c>
      <c r="K154" s="474">
        <f>(SUM(E154+H154)+((F154+I154)*0.6667)+(G154+J154)*0.3333)/2</f>
        <v>7</v>
      </c>
      <c r="L154" s="47">
        <f t="shared" si="60"/>
        <v>26084.596482000001</v>
      </c>
      <c r="M154" s="192"/>
      <c r="N154" s="7">
        <v>570</v>
      </c>
      <c r="O154" s="7">
        <v>1120</v>
      </c>
      <c r="P154" s="7">
        <f t="shared" si="61"/>
        <v>1690</v>
      </c>
      <c r="Q154" s="57"/>
      <c r="R154" s="769" t="s">
        <v>867</v>
      </c>
      <c r="S154" s="769" t="s">
        <v>867</v>
      </c>
      <c r="T154" s="182"/>
      <c r="U154" s="508"/>
      <c r="V154" s="531"/>
      <c r="W154" s="509"/>
      <c r="X154" s="510"/>
      <c r="Y154" s="511"/>
      <c r="Z154" s="182"/>
      <c r="AA154" s="182"/>
      <c r="AB154" s="182"/>
      <c r="AC154" s="182"/>
      <c r="AD154" s="182"/>
    </row>
    <row r="155" spans="1:30" s="247" customFormat="1" x14ac:dyDescent="0.25">
      <c r="A155" s="457"/>
      <c r="B155" s="262" t="s">
        <v>356</v>
      </c>
      <c r="C155" s="262" t="s">
        <v>353</v>
      </c>
      <c r="D155" s="265"/>
      <c r="E155" s="103"/>
      <c r="F155" s="261"/>
      <c r="G155" s="119"/>
      <c r="H155" s="103"/>
      <c r="I155" s="261"/>
      <c r="J155" s="119"/>
      <c r="K155" s="491">
        <f t="shared" ref="K155:K157" si="64">(SUM(E155+H155)+((F155+I155)*0.6667)+(G155+J155)*0.3333)/2</f>
        <v>0</v>
      </c>
      <c r="L155" s="47">
        <f t="shared" si="60"/>
        <v>0</v>
      </c>
      <c r="M155" s="268"/>
      <c r="N155" s="249"/>
      <c r="O155" s="249"/>
      <c r="P155" s="249">
        <f>SUM(N155+O155)</f>
        <v>0</v>
      </c>
      <c r="Q155" s="255"/>
      <c r="R155" s="185"/>
      <c r="S155" s="769"/>
      <c r="T155" s="182"/>
      <c r="U155" s="508"/>
      <c r="V155" s="531"/>
      <c r="W155" s="509"/>
      <c r="X155" s="510"/>
      <c r="Y155" s="511"/>
      <c r="Z155" s="182"/>
      <c r="AA155" s="182"/>
      <c r="AB155" s="182"/>
      <c r="AC155" s="182"/>
      <c r="AD155" s="182"/>
    </row>
    <row r="156" spans="1:30" x14ac:dyDescent="0.25">
      <c r="A156" s="56"/>
      <c r="B156" s="6" t="s">
        <v>408</v>
      </c>
      <c r="C156" s="6" t="s">
        <v>901</v>
      </c>
      <c r="D156" s="36">
        <v>19</v>
      </c>
      <c r="E156" s="103">
        <v>19</v>
      </c>
      <c r="F156" s="261">
        <v>0</v>
      </c>
      <c r="G156" s="119">
        <v>0</v>
      </c>
      <c r="H156" s="103">
        <v>18</v>
      </c>
      <c r="I156" s="261">
        <v>0</v>
      </c>
      <c r="J156" s="119">
        <v>0</v>
      </c>
      <c r="K156" s="491">
        <f t="shared" si="64"/>
        <v>18.5</v>
      </c>
      <c r="L156" s="47">
        <f t="shared" si="60"/>
        <v>68937.862131000002</v>
      </c>
      <c r="M156" s="192"/>
      <c r="N156" s="7">
        <v>1820</v>
      </c>
      <c r="O156" s="7">
        <v>2464</v>
      </c>
      <c r="P156" s="7">
        <f t="shared" si="61"/>
        <v>4284</v>
      </c>
      <c r="Q156" s="57"/>
      <c r="R156" s="769" t="s">
        <v>867</v>
      </c>
      <c r="S156" s="185" t="s">
        <v>867</v>
      </c>
      <c r="T156" s="182"/>
      <c r="U156" s="508"/>
      <c r="V156" s="531"/>
      <c r="W156" s="509"/>
      <c r="X156" s="510"/>
      <c r="Y156" s="512"/>
      <c r="Z156" s="182"/>
      <c r="AA156" s="182"/>
      <c r="AB156" s="182"/>
      <c r="AC156" s="182"/>
      <c r="AD156" s="182"/>
    </row>
    <row r="157" spans="1:30" x14ac:dyDescent="0.25">
      <c r="A157" s="56"/>
      <c r="B157" s="6" t="s">
        <v>409</v>
      </c>
      <c r="C157" s="6" t="s">
        <v>323</v>
      </c>
      <c r="D157" s="36">
        <v>13</v>
      </c>
      <c r="E157" s="103">
        <v>12</v>
      </c>
      <c r="F157" s="261">
        <v>1</v>
      </c>
      <c r="G157" s="119">
        <v>0</v>
      </c>
      <c r="H157" s="103">
        <v>9</v>
      </c>
      <c r="I157" s="261">
        <v>0</v>
      </c>
      <c r="J157" s="119">
        <v>2</v>
      </c>
      <c r="K157" s="491">
        <f t="shared" si="64"/>
        <v>11.166650000000001</v>
      </c>
      <c r="L157" s="47">
        <f t="shared" si="60"/>
        <v>41611.079900999997</v>
      </c>
      <c r="M157" s="192"/>
      <c r="N157" s="7">
        <v>263.2</v>
      </c>
      <c r="O157" s="7">
        <v>456</v>
      </c>
      <c r="P157" s="7">
        <f t="shared" si="61"/>
        <v>719.2</v>
      </c>
      <c r="Q157" s="57"/>
      <c r="R157" s="769" t="s">
        <v>867</v>
      </c>
      <c r="S157" s="769" t="s">
        <v>867</v>
      </c>
      <c r="T157" s="182"/>
      <c r="U157" s="513"/>
      <c r="V157" s="530"/>
      <c r="W157" s="516" t="s">
        <v>1</v>
      </c>
      <c r="X157" s="515" t="s">
        <v>57</v>
      </c>
      <c r="Y157" s="514" t="s">
        <v>1</v>
      </c>
      <c r="Z157" s="182"/>
      <c r="AA157" s="182"/>
      <c r="AB157" s="182"/>
      <c r="AC157" s="182"/>
      <c r="AD157" s="182"/>
    </row>
    <row r="158" spans="1:30" ht="13.8" thickBot="1" x14ac:dyDescent="0.3">
      <c r="A158" s="60"/>
      <c r="B158" s="60" t="s">
        <v>54</v>
      </c>
      <c r="C158" s="60"/>
      <c r="D158" s="166"/>
      <c r="E158" s="109"/>
      <c r="F158" s="110"/>
      <c r="G158" s="122"/>
      <c r="H158" s="109"/>
      <c r="I158" s="110"/>
      <c r="J158" s="122"/>
      <c r="K158" s="50">
        <f>SUM(K148:K157)</f>
        <v>89.666700000000006</v>
      </c>
      <c r="L158" s="93"/>
      <c r="M158" s="193">
        <f>SUM(L148:L157)</f>
        <v>334131.38390999998</v>
      </c>
      <c r="N158" s="48"/>
      <c r="O158" s="48"/>
      <c r="P158" s="48"/>
      <c r="Q158" s="48">
        <f>SUM(P148:P157)</f>
        <v>13864.1</v>
      </c>
      <c r="R158" s="185"/>
      <c r="S158" s="185"/>
      <c r="T158" s="182"/>
      <c r="U158" s="877">
        <v>2649</v>
      </c>
      <c r="V158" s="878">
        <f>U158*2</f>
        <v>5298</v>
      </c>
      <c r="W158" s="879">
        <f>V158*0.75</f>
        <v>3973.5</v>
      </c>
      <c r="X158" s="880">
        <f>K158</f>
        <v>89.666700000000006</v>
      </c>
      <c r="Y158" s="881">
        <f>X158*W158</f>
        <v>356290.63</v>
      </c>
      <c r="Z158" s="182"/>
      <c r="AA158" s="182"/>
      <c r="AB158" s="182"/>
      <c r="AC158" s="182"/>
      <c r="AD158" s="182"/>
    </row>
    <row r="159" spans="1:30" x14ac:dyDescent="0.25">
      <c r="A159" s="457" t="s">
        <v>313</v>
      </c>
      <c r="B159" s="6" t="s">
        <v>411</v>
      </c>
      <c r="C159" s="6" t="s">
        <v>410</v>
      </c>
      <c r="D159" s="36">
        <v>1</v>
      </c>
      <c r="E159" s="103">
        <v>1</v>
      </c>
      <c r="F159" s="261">
        <v>0</v>
      </c>
      <c r="G159" s="119">
        <v>0</v>
      </c>
      <c r="H159" s="103">
        <v>1</v>
      </c>
      <c r="I159" s="261">
        <v>0</v>
      </c>
      <c r="J159" s="119">
        <v>0</v>
      </c>
      <c r="K159" s="491">
        <f>(SUM(E159+H159)+((F159+I159)*0.6667)+(G159+J159)*0.3333)/2</f>
        <v>1</v>
      </c>
      <c r="L159" s="47">
        <f>$B$266*K159</f>
        <v>3726.3709260000001</v>
      </c>
      <c r="M159" s="192"/>
      <c r="N159" s="7">
        <v>270</v>
      </c>
      <c r="O159" s="7">
        <v>267</v>
      </c>
      <c r="P159" s="7">
        <f>SUM(N159+O159)</f>
        <v>537</v>
      </c>
      <c r="Q159" s="57"/>
      <c r="R159" s="185" t="s">
        <v>867</v>
      </c>
      <c r="S159" s="769" t="s">
        <v>867</v>
      </c>
      <c r="T159" s="185"/>
      <c r="U159" s="505"/>
      <c r="V159" s="558"/>
      <c r="W159" s="506"/>
      <c r="X159" s="507"/>
      <c r="Y159" s="553"/>
      <c r="Z159" s="182"/>
      <c r="AA159" s="182"/>
      <c r="AB159" s="182"/>
      <c r="AC159" s="182"/>
      <c r="AD159" s="182"/>
    </row>
    <row r="160" spans="1:30" ht="13.8" thickBot="1" x14ac:dyDescent="0.3">
      <c r="A160" s="60"/>
      <c r="B160" s="60" t="s">
        <v>54</v>
      </c>
      <c r="C160" s="60"/>
      <c r="D160" s="166"/>
      <c r="E160" s="109"/>
      <c r="F160" s="110"/>
      <c r="G160" s="122"/>
      <c r="H160" s="109"/>
      <c r="I160" s="110"/>
      <c r="J160" s="122"/>
      <c r="K160" s="50">
        <f>K159</f>
        <v>1</v>
      </c>
      <c r="L160" s="93"/>
      <c r="M160" s="193">
        <f>L159</f>
        <v>3726.3709260000001</v>
      </c>
      <c r="N160" s="48"/>
      <c r="O160" s="48"/>
      <c r="P160" s="48"/>
      <c r="Q160" s="48">
        <f>P159</f>
        <v>537</v>
      </c>
      <c r="R160" s="185"/>
      <c r="S160" s="185"/>
      <c r="T160" s="182"/>
      <c r="U160" s="877">
        <v>3335.57</v>
      </c>
      <c r="V160" s="878">
        <f>U160*2</f>
        <v>6671.14</v>
      </c>
      <c r="W160" s="879">
        <f>V160*0.75</f>
        <v>5003.3599999999997</v>
      </c>
      <c r="X160" s="880">
        <f>K160</f>
        <v>1</v>
      </c>
      <c r="Y160" s="881">
        <f>X160*W160</f>
        <v>5003.3599999999997</v>
      </c>
      <c r="Z160" s="182"/>
      <c r="AA160" s="182"/>
      <c r="AB160" s="182"/>
      <c r="AC160" s="182"/>
      <c r="AD160" s="182"/>
    </row>
    <row r="161" spans="1:30" x14ac:dyDescent="0.25">
      <c r="A161" s="457" t="s">
        <v>214</v>
      </c>
      <c r="B161" s="75" t="s">
        <v>412</v>
      </c>
      <c r="C161" s="75" t="s">
        <v>259</v>
      </c>
      <c r="D161" s="165">
        <v>14</v>
      </c>
      <c r="E161" s="107">
        <v>13</v>
      </c>
      <c r="F161" s="108">
        <v>1</v>
      </c>
      <c r="G161" s="121">
        <v>0</v>
      </c>
      <c r="H161" s="107">
        <v>14</v>
      </c>
      <c r="I161" s="108">
        <v>0</v>
      </c>
      <c r="J161" s="121">
        <v>0</v>
      </c>
      <c r="K161" s="474">
        <f>(SUM(E161+H161)+((F161+I161)*0.6667)+(G161+J161)*0.3333)/2</f>
        <v>13.833349999999999</v>
      </c>
      <c r="L161" s="47">
        <f>$B$266*K161</f>
        <v>51548.193249000004</v>
      </c>
      <c r="M161" s="192"/>
      <c r="N161" s="7">
        <v>156</v>
      </c>
      <c r="O161" s="7">
        <v>756.6</v>
      </c>
      <c r="P161" s="7">
        <f>SUM(N161+O161)</f>
        <v>912.6</v>
      </c>
      <c r="Q161" s="57"/>
      <c r="R161" s="769" t="s">
        <v>867</v>
      </c>
      <c r="S161" s="769" t="s">
        <v>867</v>
      </c>
      <c r="T161" s="262"/>
      <c r="U161" s="505"/>
      <c r="V161" s="558"/>
      <c r="W161" s="506"/>
      <c r="X161" s="507"/>
      <c r="Y161" s="553"/>
      <c r="Z161" s="182"/>
      <c r="AA161" s="182"/>
      <c r="AB161" s="182"/>
      <c r="AC161" s="182"/>
      <c r="AD161" s="182"/>
    </row>
    <row r="162" spans="1:30" x14ac:dyDescent="0.25">
      <c r="A162" s="56"/>
      <c r="B162" s="6" t="s">
        <v>413</v>
      </c>
      <c r="C162" s="6" t="s">
        <v>261</v>
      </c>
      <c r="D162" s="36">
        <v>6</v>
      </c>
      <c r="E162" s="103">
        <v>6</v>
      </c>
      <c r="F162" s="104">
        <v>0</v>
      </c>
      <c r="G162" s="119">
        <v>0</v>
      </c>
      <c r="H162" s="174">
        <v>5</v>
      </c>
      <c r="I162" s="175">
        <v>0</v>
      </c>
      <c r="J162" s="176">
        <v>0</v>
      </c>
      <c r="K162" s="491">
        <f t="shared" ref="K162:K163" si="65">(SUM(E162+H162)+((F162+I162)*0.6667)+(G162+J162)*0.3333)/2</f>
        <v>5.5</v>
      </c>
      <c r="L162" s="47">
        <f>$B$266*K162</f>
        <v>20495.040093</v>
      </c>
      <c r="M162" s="192"/>
      <c r="N162" s="7">
        <v>187.6</v>
      </c>
      <c r="O162" s="7">
        <v>523.6</v>
      </c>
      <c r="P162" s="7">
        <f>SUM(N162+O162)</f>
        <v>711.2</v>
      </c>
      <c r="Q162" s="57"/>
      <c r="R162" s="185" t="s">
        <v>867</v>
      </c>
      <c r="S162" s="185" t="s">
        <v>867</v>
      </c>
      <c r="T162" s="182"/>
      <c r="U162" s="508"/>
      <c r="V162" s="531"/>
      <c r="W162" s="509"/>
      <c r="X162" s="510"/>
      <c r="Y162" s="512"/>
      <c r="Z162" s="182"/>
      <c r="AA162" s="182"/>
      <c r="AB162" s="182"/>
      <c r="AC162" s="182"/>
      <c r="AD162" s="182"/>
    </row>
    <row r="163" spans="1:30" x14ac:dyDescent="0.25">
      <c r="A163" s="56"/>
      <c r="B163" s="6" t="s">
        <v>414</v>
      </c>
      <c r="C163" s="6" t="s">
        <v>345</v>
      </c>
      <c r="D163" s="36">
        <v>4</v>
      </c>
      <c r="E163" s="103">
        <v>4</v>
      </c>
      <c r="F163" s="104">
        <v>0</v>
      </c>
      <c r="G163" s="119">
        <v>0</v>
      </c>
      <c r="H163" s="174">
        <v>4</v>
      </c>
      <c r="I163" s="175">
        <v>0</v>
      </c>
      <c r="J163" s="176">
        <v>0</v>
      </c>
      <c r="K163" s="491">
        <f t="shared" si="65"/>
        <v>4</v>
      </c>
      <c r="L163" s="47">
        <f>$B$266*K163</f>
        <v>14905.483704</v>
      </c>
      <c r="M163" s="192"/>
      <c r="N163" s="133">
        <v>0</v>
      </c>
      <c r="O163" s="7">
        <v>234</v>
      </c>
      <c r="P163" s="7">
        <f>SUM(N163+O163)</f>
        <v>234</v>
      </c>
      <c r="Q163" s="57"/>
      <c r="R163" s="185" t="s">
        <v>867</v>
      </c>
      <c r="S163" s="769" t="s">
        <v>867</v>
      </c>
      <c r="T163" s="182"/>
      <c r="U163" s="508"/>
      <c r="V163" s="531"/>
      <c r="W163" s="509"/>
      <c r="X163" s="510"/>
      <c r="Y163" s="511"/>
      <c r="Z163" s="182"/>
      <c r="AA163" s="182"/>
      <c r="AB163" s="182"/>
      <c r="AC163" s="182"/>
      <c r="AD163" s="182"/>
    </row>
    <row r="164" spans="1:30" x14ac:dyDescent="0.25">
      <c r="A164" s="56"/>
      <c r="B164" s="75" t="s">
        <v>351</v>
      </c>
      <c r="C164" s="75" t="s">
        <v>295</v>
      </c>
      <c r="D164" s="165">
        <v>4</v>
      </c>
      <c r="E164" s="107">
        <v>2</v>
      </c>
      <c r="F164" s="108">
        <v>2</v>
      </c>
      <c r="G164" s="121">
        <v>0</v>
      </c>
      <c r="H164" s="107">
        <v>2</v>
      </c>
      <c r="I164" s="108">
        <v>0</v>
      </c>
      <c r="J164" s="121">
        <v>0</v>
      </c>
      <c r="K164" s="474">
        <f>(SUM(E164+H164)+((F164+I164)*0.6667)+(G164+J164)*0.3333)/2</f>
        <v>2.6667000000000001</v>
      </c>
      <c r="L164" s="47">
        <f>$B$266*K164</f>
        <v>9937.1133480000008</v>
      </c>
      <c r="M164" s="192"/>
      <c r="N164" s="7">
        <v>46.4</v>
      </c>
      <c r="O164" s="7">
        <v>246.4</v>
      </c>
      <c r="P164" s="7">
        <f>SUM(N164+O164)</f>
        <v>292.8</v>
      </c>
      <c r="Q164" s="57"/>
      <c r="R164" s="173" t="s">
        <v>867</v>
      </c>
      <c r="S164" s="769" t="s">
        <v>867</v>
      </c>
      <c r="T164" s="262"/>
      <c r="U164" s="513"/>
      <c r="V164" s="530"/>
      <c r="W164" s="516" t="s">
        <v>1</v>
      </c>
      <c r="X164" s="515" t="s">
        <v>1</v>
      </c>
      <c r="Y164" s="514" t="s">
        <v>1</v>
      </c>
      <c r="Z164" s="182"/>
      <c r="AA164" s="182"/>
      <c r="AB164" s="182"/>
      <c r="AC164" s="182"/>
      <c r="AD164" s="182"/>
    </row>
    <row r="165" spans="1:30" ht="13.8" thickBot="1" x14ac:dyDescent="0.3">
      <c r="A165" s="60"/>
      <c r="B165" s="60" t="s">
        <v>54</v>
      </c>
      <c r="C165" s="60"/>
      <c r="D165" s="166"/>
      <c r="E165" s="109"/>
      <c r="F165" s="110"/>
      <c r="G165" s="122"/>
      <c r="H165" s="109"/>
      <c r="I165" s="110"/>
      <c r="J165" s="122"/>
      <c r="K165" s="50">
        <f>SUM(K161:K164)</f>
        <v>26.000050000000002</v>
      </c>
      <c r="L165" s="93"/>
      <c r="M165" s="193">
        <f>SUM(L161:L164)</f>
        <v>96885.830394000004</v>
      </c>
      <c r="N165" s="48"/>
      <c r="O165" s="48"/>
      <c r="P165" s="48"/>
      <c r="Q165" s="48">
        <f>SUM(P161:P164)</f>
        <v>2150.6</v>
      </c>
      <c r="R165" s="185"/>
      <c r="S165" s="185"/>
      <c r="T165" s="182"/>
      <c r="U165" s="877">
        <v>3211.03</v>
      </c>
      <c r="V165" s="878">
        <f>U165*2</f>
        <v>6422.06</v>
      </c>
      <c r="W165" s="879">
        <f>V165*0.75</f>
        <v>4816.55</v>
      </c>
      <c r="X165" s="880">
        <f>K165</f>
        <v>26.000050000000002</v>
      </c>
      <c r="Y165" s="881">
        <f>X165*W165</f>
        <v>125230.54</v>
      </c>
      <c r="Z165" s="182"/>
      <c r="AA165" s="182"/>
      <c r="AB165" s="182"/>
      <c r="AC165" s="182"/>
      <c r="AD165" s="182"/>
    </row>
    <row r="166" spans="1:30" x14ac:dyDescent="0.25">
      <c r="A166" s="457" t="s">
        <v>215</v>
      </c>
      <c r="B166" s="6" t="s">
        <v>406</v>
      </c>
      <c r="C166" s="6" t="s">
        <v>258</v>
      </c>
      <c r="D166" s="36" t="s">
        <v>1</v>
      </c>
      <c r="E166" s="103"/>
      <c r="F166" s="104"/>
      <c r="G166" s="119"/>
      <c r="H166" s="103"/>
      <c r="I166" s="261"/>
      <c r="J166" s="119"/>
      <c r="K166" s="491">
        <f>(SUM(E166+H166)+((F166+I166)*0.6667)+(G166+J166)*0.3333)/2</f>
        <v>0</v>
      </c>
      <c r="L166" s="47">
        <f>$B$266*K166</f>
        <v>0</v>
      </c>
      <c r="M166" s="192"/>
      <c r="N166" s="7"/>
      <c r="O166" s="7"/>
      <c r="P166" s="7">
        <f>SUM(N166+O166)</f>
        <v>0</v>
      </c>
      <c r="Q166" s="57"/>
      <c r="R166" s="185"/>
      <c r="S166" s="185"/>
      <c r="T166" s="182"/>
      <c r="U166" s="508"/>
      <c r="V166" s="531"/>
      <c r="W166" s="509"/>
      <c r="X166" s="510"/>
      <c r="Y166" s="511"/>
      <c r="Z166" s="182"/>
      <c r="AA166" s="182"/>
      <c r="AB166" s="182"/>
      <c r="AC166" s="182"/>
      <c r="AD166" s="182"/>
    </row>
    <row r="167" spans="1:30" x14ac:dyDescent="0.25">
      <c r="A167" s="56"/>
      <c r="B167" s="75" t="s">
        <v>387</v>
      </c>
      <c r="C167" s="75" t="s">
        <v>257</v>
      </c>
      <c r="D167" s="264">
        <v>3</v>
      </c>
      <c r="E167" s="111">
        <v>3</v>
      </c>
      <c r="F167" s="112">
        <v>0</v>
      </c>
      <c r="G167" s="123">
        <v>0</v>
      </c>
      <c r="H167" s="111">
        <v>3</v>
      </c>
      <c r="I167" s="112">
        <v>0</v>
      </c>
      <c r="J167" s="123">
        <v>0</v>
      </c>
      <c r="K167" s="474">
        <f>(SUM(E167+H167)+((F167+I167)*0.6667)+(G167+J167)*0.3333)/2</f>
        <v>3</v>
      </c>
      <c r="L167" s="47">
        <f>$B$266*K167</f>
        <v>11179.112778000001</v>
      </c>
      <c r="M167" s="192"/>
      <c r="N167" s="133">
        <v>1050</v>
      </c>
      <c r="O167" s="133">
        <v>1075</v>
      </c>
      <c r="P167" s="72">
        <f>SUM(N167+O167)</f>
        <v>2125</v>
      </c>
      <c r="Q167" s="57"/>
      <c r="R167" s="185" t="s">
        <v>867</v>
      </c>
      <c r="S167" s="185" t="s">
        <v>867</v>
      </c>
      <c r="T167" s="182"/>
      <c r="U167" s="508"/>
      <c r="V167" s="531"/>
      <c r="W167" s="509"/>
      <c r="X167" s="510"/>
      <c r="Y167" s="511"/>
      <c r="Z167" s="182"/>
      <c r="AA167" s="182"/>
      <c r="AB167" s="182"/>
      <c r="AC167" s="182"/>
      <c r="AD167" s="182"/>
    </row>
    <row r="168" spans="1:30" x14ac:dyDescent="0.25">
      <c r="A168" s="56"/>
      <c r="B168" s="6" t="s">
        <v>408</v>
      </c>
      <c r="C168" s="6" t="s">
        <v>901</v>
      </c>
      <c r="D168" s="36">
        <v>68</v>
      </c>
      <c r="E168" s="103">
        <v>67</v>
      </c>
      <c r="F168" s="104">
        <v>1</v>
      </c>
      <c r="G168" s="119">
        <v>0</v>
      </c>
      <c r="H168" s="103">
        <v>65</v>
      </c>
      <c r="I168" s="261">
        <v>0</v>
      </c>
      <c r="J168" s="119">
        <v>1</v>
      </c>
      <c r="K168" s="491">
        <f t="shared" ref="K168:K169" si="66">(SUM(E168+H168)+((F168+I168)*0.6667)+(G168+J168)*0.3333)/2</f>
        <v>66.5</v>
      </c>
      <c r="L168" s="47">
        <f>$B$266*K168</f>
        <v>247803.66657900001</v>
      </c>
      <c r="M168" s="192"/>
      <c r="N168" s="7">
        <v>8625.6</v>
      </c>
      <c r="O168" s="7">
        <v>7524</v>
      </c>
      <c r="P168" s="7">
        <f>SUM(N168+O168)</f>
        <v>16149.6</v>
      </c>
      <c r="Q168" s="57"/>
      <c r="R168" s="767" t="s">
        <v>867</v>
      </c>
      <c r="S168" s="767" t="s">
        <v>912</v>
      </c>
      <c r="T168" s="182"/>
      <c r="U168" s="508"/>
      <c r="V168" s="531"/>
      <c r="W168" s="509"/>
      <c r="X168" s="510"/>
      <c r="Y168" s="511"/>
      <c r="Z168" s="182"/>
      <c r="AA168" s="182"/>
      <c r="AB168" s="182"/>
      <c r="AC168" s="182"/>
      <c r="AD168" s="182"/>
    </row>
    <row r="169" spans="1:30" x14ac:dyDescent="0.25">
      <c r="A169" s="56"/>
      <c r="B169" s="6" t="s">
        <v>415</v>
      </c>
      <c r="C169" s="6" t="s">
        <v>323</v>
      </c>
      <c r="D169" s="36">
        <v>109</v>
      </c>
      <c r="E169" s="103">
        <v>108</v>
      </c>
      <c r="F169" s="104">
        <v>0</v>
      </c>
      <c r="G169" s="119">
        <v>1</v>
      </c>
      <c r="H169" s="103">
        <v>105</v>
      </c>
      <c r="I169" s="261">
        <v>0</v>
      </c>
      <c r="J169" s="119">
        <v>2</v>
      </c>
      <c r="K169" s="491">
        <f t="shared" si="66"/>
        <v>106.99995</v>
      </c>
      <c r="L169" s="47">
        <f>$B$266*K169</f>
        <v>398721.50276300003</v>
      </c>
      <c r="M169" s="192"/>
      <c r="N169" s="7">
        <v>8809.2000000000007</v>
      </c>
      <c r="O169" s="7">
        <v>8280</v>
      </c>
      <c r="P169" s="7">
        <f>SUM(N169+O169)</f>
        <v>17089.2</v>
      </c>
      <c r="Q169" s="57"/>
      <c r="R169" s="767" t="s">
        <v>867</v>
      </c>
      <c r="S169" s="185" t="s">
        <v>867</v>
      </c>
      <c r="T169" s="182"/>
      <c r="U169" s="508"/>
      <c r="V169" s="531"/>
      <c r="W169" s="509"/>
      <c r="X169" s="510"/>
      <c r="Y169" s="511"/>
      <c r="Z169" s="182"/>
      <c r="AA169" s="182"/>
      <c r="AB169" s="182"/>
      <c r="AC169" s="182"/>
      <c r="AD169" s="182"/>
    </row>
    <row r="170" spans="1:30" ht="13.8" thickBot="1" x14ac:dyDescent="0.3">
      <c r="A170" s="60"/>
      <c r="B170" s="60" t="s">
        <v>54</v>
      </c>
      <c r="C170" s="60"/>
      <c r="D170" s="166"/>
      <c r="E170" s="109"/>
      <c r="F170" s="110"/>
      <c r="G170" s="122"/>
      <c r="H170" s="109"/>
      <c r="I170" s="110"/>
      <c r="J170" s="122"/>
      <c r="K170" s="50">
        <f>SUM(K166:K169)</f>
        <v>176.49995000000001</v>
      </c>
      <c r="L170" s="93"/>
      <c r="M170" s="195">
        <f>SUM(L166:L169)</f>
        <v>657704.28211999999</v>
      </c>
      <c r="N170" s="48"/>
      <c r="O170" s="48"/>
      <c r="P170" s="48"/>
      <c r="Q170" s="48">
        <f>SUM(P166:P169)</f>
        <v>35363.800000000003</v>
      </c>
      <c r="R170" s="185"/>
      <c r="S170" s="185"/>
      <c r="T170" s="182"/>
      <c r="U170" s="877">
        <v>2848.52</v>
      </c>
      <c r="V170" s="878">
        <f>U170*2</f>
        <v>5697.04</v>
      </c>
      <c r="W170" s="879">
        <f>V170*0.75</f>
        <v>4272.78</v>
      </c>
      <c r="X170" s="880">
        <f>K170</f>
        <v>176.49995000000001</v>
      </c>
      <c r="Y170" s="881">
        <f>X170*W170</f>
        <v>754145.46</v>
      </c>
      <c r="Z170" s="182"/>
      <c r="AA170" s="182"/>
      <c r="AB170" s="182"/>
      <c r="AC170" s="182"/>
      <c r="AD170" s="182"/>
    </row>
    <row r="171" spans="1:30" ht="14.4" x14ac:dyDescent="0.3">
      <c r="A171" s="1013" t="s">
        <v>314</v>
      </c>
      <c r="B171" s="75" t="s">
        <v>412</v>
      </c>
      <c r="C171" s="75" t="s">
        <v>259</v>
      </c>
      <c r="D171" s="165">
        <v>12</v>
      </c>
      <c r="E171" s="107">
        <v>11</v>
      </c>
      <c r="F171" s="108">
        <v>0</v>
      </c>
      <c r="G171" s="121">
        <v>0</v>
      </c>
      <c r="H171" s="107">
        <v>11</v>
      </c>
      <c r="I171" s="108">
        <v>0</v>
      </c>
      <c r="J171" s="121">
        <v>0</v>
      </c>
      <c r="K171" s="474">
        <f>(SUM(E171+H171)+((F171+I171)*0.6667)+(G171+J171)*0.3333)/2</f>
        <v>11</v>
      </c>
      <c r="L171" s="47">
        <f>$B$266*K171</f>
        <v>40990.080185999999</v>
      </c>
      <c r="M171" s="192"/>
      <c r="N171" s="7">
        <v>63</v>
      </c>
      <c r="O171" s="7">
        <v>537.6</v>
      </c>
      <c r="P171" s="7">
        <f>SUM(N171+O171)</f>
        <v>600.6</v>
      </c>
      <c r="Q171" s="61"/>
      <c r="R171" s="767" t="s">
        <v>867</v>
      </c>
      <c r="S171" s="767" t="s">
        <v>867</v>
      </c>
      <c r="T171" s="182"/>
      <c r="U171" s="505"/>
      <c r="V171" s="558"/>
      <c r="W171" s="506"/>
      <c r="X171" s="507"/>
      <c r="Y171" s="553"/>
      <c r="Z171" s="182"/>
      <c r="AA171" s="182"/>
      <c r="AB171" s="182"/>
      <c r="AC171" s="182"/>
      <c r="AD171" s="182"/>
    </row>
    <row r="172" spans="1:30" ht="14.4" x14ac:dyDescent="0.3">
      <c r="A172" s="56"/>
      <c r="B172" s="6" t="s">
        <v>486</v>
      </c>
      <c r="C172" s="6" t="s">
        <v>261</v>
      </c>
      <c r="D172" s="36">
        <v>1</v>
      </c>
      <c r="E172" s="103">
        <v>2</v>
      </c>
      <c r="F172" s="104">
        <v>0</v>
      </c>
      <c r="G172" s="119">
        <v>0</v>
      </c>
      <c r="H172" s="103">
        <v>2</v>
      </c>
      <c r="I172" s="261">
        <v>0</v>
      </c>
      <c r="J172" s="119">
        <v>0</v>
      </c>
      <c r="K172" s="491">
        <f t="shared" ref="K172:K173" si="67">(SUM(E172+H172)+((F172+I172)*0.6667)+(G172+J172)*0.3333)/2</f>
        <v>2</v>
      </c>
      <c r="L172" s="47">
        <f>$B$266*K172</f>
        <v>7452.7418520000001</v>
      </c>
      <c r="M172" s="192"/>
      <c r="N172" s="133">
        <v>0</v>
      </c>
      <c r="O172" s="133">
        <v>131.6</v>
      </c>
      <c r="P172" s="7">
        <f>SUM(N172+O172)</f>
        <v>131.6</v>
      </c>
      <c r="Q172" s="61"/>
      <c r="R172" s="185" t="s">
        <v>867</v>
      </c>
      <c r="S172" s="173" t="s">
        <v>867</v>
      </c>
      <c r="T172" s="182"/>
      <c r="U172" s="508"/>
      <c r="V172" s="531"/>
      <c r="W172" s="509"/>
      <c r="X172" s="510"/>
      <c r="Y172" s="512"/>
      <c r="Z172" s="182"/>
      <c r="AA172" s="182"/>
      <c r="AB172" s="182"/>
      <c r="AC172" s="182"/>
      <c r="AD172" s="182"/>
    </row>
    <row r="173" spans="1:30" ht="14.4" x14ac:dyDescent="0.3">
      <c r="A173" s="56"/>
      <c r="B173" s="6" t="s">
        <v>414</v>
      </c>
      <c r="C173" s="6" t="s">
        <v>345</v>
      </c>
      <c r="D173" s="36">
        <v>4</v>
      </c>
      <c r="E173" s="103">
        <v>8</v>
      </c>
      <c r="F173" s="261">
        <v>0</v>
      </c>
      <c r="G173" s="119">
        <v>0</v>
      </c>
      <c r="H173" s="103">
        <v>8</v>
      </c>
      <c r="I173" s="261">
        <v>0</v>
      </c>
      <c r="J173" s="119">
        <v>0</v>
      </c>
      <c r="K173" s="491">
        <f t="shared" si="67"/>
        <v>8</v>
      </c>
      <c r="L173" s="47">
        <f>$B$266*K173</f>
        <v>29810.967408</v>
      </c>
      <c r="M173" s="192"/>
      <c r="N173" s="7">
        <v>62</v>
      </c>
      <c r="O173" s="7">
        <v>634</v>
      </c>
      <c r="P173" s="7">
        <f>SUM(N173+O173)</f>
        <v>696</v>
      </c>
      <c r="Q173" s="61"/>
      <c r="R173" s="173" t="s">
        <v>867</v>
      </c>
      <c r="S173" s="769" t="s">
        <v>867</v>
      </c>
      <c r="T173" s="182"/>
      <c r="U173" s="513"/>
      <c r="V173" s="530"/>
      <c r="W173" s="516"/>
      <c r="X173" s="515"/>
      <c r="Y173" s="514"/>
      <c r="Z173" s="182"/>
      <c r="AA173" s="182"/>
      <c r="AB173" s="182"/>
      <c r="AC173" s="182"/>
      <c r="AD173" s="182"/>
    </row>
    <row r="174" spans="1:30" ht="14.4" x14ac:dyDescent="0.3">
      <c r="A174" s="56"/>
      <c r="B174" s="75" t="s">
        <v>350</v>
      </c>
      <c r="C174" s="75" t="s">
        <v>263</v>
      </c>
      <c r="D174" s="165">
        <v>4</v>
      </c>
      <c r="E174" s="107">
        <v>3</v>
      </c>
      <c r="F174" s="108">
        <v>0</v>
      </c>
      <c r="G174" s="121">
        <v>0</v>
      </c>
      <c r="H174" s="107">
        <v>4</v>
      </c>
      <c r="I174" s="108">
        <v>0</v>
      </c>
      <c r="J174" s="121">
        <v>0</v>
      </c>
      <c r="K174" s="474">
        <f>(SUM(E174+H174)+((F174+I174)*0.6667)+(G174+J174)*0.3333)/2</f>
        <v>3.5</v>
      </c>
      <c r="L174" s="47">
        <f>$B$266*K174</f>
        <v>13042.298241</v>
      </c>
      <c r="M174" s="192"/>
      <c r="N174" s="7">
        <v>40</v>
      </c>
      <c r="O174" s="7">
        <v>315.2</v>
      </c>
      <c r="P174" s="7">
        <f>SUM(N174+O174)</f>
        <v>355.2</v>
      </c>
      <c r="Q174" s="61"/>
      <c r="R174" s="185" t="s">
        <v>867</v>
      </c>
      <c r="S174" s="769" t="s">
        <v>867</v>
      </c>
      <c r="T174" s="182"/>
      <c r="U174" s="508"/>
      <c r="V174" s="531"/>
      <c r="W174" s="509"/>
      <c r="X174" s="510"/>
      <c r="Y174" s="511"/>
      <c r="Z174" s="182"/>
      <c r="AA174" s="182"/>
      <c r="AB174" s="182"/>
      <c r="AC174" s="182"/>
      <c r="AD174" s="182"/>
    </row>
    <row r="175" spans="1:30" s="247" customFormat="1" ht="14.4" x14ac:dyDescent="0.3">
      <c r="A175" s="262" t="s">
        <v>1</v>
      </c>
      <c r="B175" s="262" t="s">
        <v>583</v>
      </c>
      <c r="C175" s="248"/>
      <c r="D175" s="252" t="s">
        <v>1</v>
      </c>
      <c r="E175" s="174"/>
      <c r="F175" s="175"/>
      <c r="G175" s="176"/>
      <c r="H175" s="103"/>
      <c r="I175" s="261"/>
      <c r="J175" s="119"/>
      <c r="K175" s="491">
        <f>(SUM(E175+H175)+((F175+I175)*0.6667)+(G175+J175)*0.3333)/2</f>
        <v>0</v>
      </c>
      <c r="L175" s="47">
        <f>$B$266*K175</f>
        <v>0</v>
      </c>
      <c r="M175" s="268"/>
      <c r="N175" s="249"/>
      <c r="O175" s="249"/>
      <c r="P175" s="249">
        <f>SUM(N175+O175)</f>
        <v>0</v>
      </c>
      <c r="Q175" s="61"/>
      <c r="R175" s="785" t="s">
        <v>862</v>
      </c>
      <c r="S175" s="173"/>
      <c r="T175" s="273"/>
      <c r="U175" s="508"/>
      <c r="V175" s="531"/>
      <c r="W175" s="509"/>
      <c r="X175" s="510"/>
      <c r="Y175" s="512"/>
      <c r="Z175" s="182"/>
      <c r="AA175" s="182"/>
      <c r="AB175" s="182"/>
      <c r="AC175" s="182"/>
      <c r="AD175" s="182"/>
    </row>
    <row r="176" spans="1:30" ht="13.8" thickBot="1" x14ac:dyDescent="0.3">
      <c r="A176" s="60"/>
      <c r="B176" s="60" t="s">
        <v>54</v>
      </c>
      <c r="C176" s="60"/>
      <c r="D176" s="166"/>
      <c r="E176" s="109"/>
      <c r="F176" s="110"/>
      <c r="G176" s="122"/>
      <c r="H176" s="109"/>
      <c r="I176" s="110"/>
      <c r="J176" s="122"/>
      <c r="K176" s="50">
        <f>SUM(K171:K175)</f>
        <v>24.5</v>
      </c>
      <c r="L176" s="93"/>
      <c r="M176" s="195">
        <f>SUM(L171:L175)</f>
        <v>91296.087687000007</v>
      </c>
      <c r="N176" s="48"/>
      <c r="O176" s="48"/>
      <c r="P176" s="48"/>
      <c r="Q176" s="48">
        <f>SUM(P171:P175)</f>
        <v>1783.4</v>
      </c>
      <c r="R176" s="185"/>
      <c r="S176" s="185"/>
      <c r="T176" s="182"/>
      <c r="U176" s="877">
        <v>2042.15</v>
      </c>
      <c r="V176" s="878">
        <f>U176*2</f>
        <v>4084.3</v>
      </c>
      <c r="W176" s="879">
        <f>V176*0.75</f>
        <v>3063.23</v>
      </c>
      <c r="X176" s="880">
        <f>K176</f>
        <v>24.5</v>
      </c>
      <c r="Y176" s="881">
        <f>X176*W176</f>
        <v>75049.14</v>
      </c>
      <c r="Z176" s="182"/>
      <c r="AA176" s="182"/>
      <c r="AB176" s="182"/>
      <c r="AC176" s="182"/>
      <c r="AD176" s="182"/>
    </row>
    <row r="177" spans="1:30" ht="14.4" x14ac:dyDescent="0.3">
      <c r="A177" s="62" t="s">
        <v>315</v>
      </c>
      <c r="B177" s="63"/>
      <c r="C177" s="63"/>
      <c r="D177" s="169"/>
      <c r="E177" s="113"/>
      <c r="F177" s="114"/>
      <c r="G177" s="124"/>
      <c r="H177" s="113"/>
      <c r="I177" s="114"/>
      <c r="J177" s="124"/>
      <c r="K177" s="99"/>
      <c r="L177" s="94"/>
      <c r="M177" s="197"/>
      <c r="N177" s="64"/>
      <c r="O177" s="64"/>
      <c r="P177" s="64"/>
      <c r="Q177" s="64"/>
      <c r="R177" s="185"/>
      <c r="S177" s="185"/>
      <c r="T177" s="182"/>
      <c r="U177" s="508"/>
      <c r="V177" s="531"/>
      <c r="W177" s="509"/>
      <c r="X177" s="510"/>
      <c r="Y177" s="511"/>
      <c r="Z177" s="182"/>
      <c r="AA177" s="182"/>
      <c r="AB177" s="182"/>
      <c r="AC177" s="182"/>
      <c r="AD177" s="182"/>
    </row>
    <row r="178" spans="1:30" x14ac:dyDescent="0.25">
      <c r="A178" s="457" t="s">
        <v>4</v>
      </c>
      <c r="B178" s="262" t="s">
        <v>419</v>
      </c>
      <c r="C178" s="6" t="s">
        <v>242</v>
      </c>
      <c r="D178" s="252">
        <v>3</v>
      </c>
      <c r="E178" s="103">
        <v>3</v>
      </c>
      <c r="F178" s="104">
        <v>0</v>
      </c>
      <c r="G178" s="119">
        <v>0</v>
      </c>
      <c r="H178" s="103">
        <v>4</v>
      </c>
      <c r="I178" s="261">
        <v>0</v>
      </c>
      <c r="J178" s="119">
        <v>0</v>
      </c>
      <c r="K178" s="491">
        <f t="shared" ref="K178:K185" si="68">(SUM(E178+H178)+((F178+I178)*0.6667)+(G178+J178)*0.3333)/2</f>
        <v>3.5</v>
      </c>
      <c r="L178" s="47">
        <f t="shared" ref="L178:L188" si="69">$B$266*K178</f>
        <v>13042.298241</v>
      </c>
      <c r="M178" s="192"/>
      <c r="N178" s="133">
        <v>549.44000000000005</v>
      </c>
      <c r="O178" s="782">
        <v>900.32</v>
      </c>
      <c r="P178" s="7">
        <f t="shared" ref="P178:P185" si="70">N178+O178</f>
        <v>1449.76</v>
      </c>
      <c r="Q178" s="65"/>
      <c r="R178" s="173" t="s">
        <v>867</v>
      </c>
      <c r="S178" s="767" t="s">
        <v>867</v>
      </c>
      <c r="T178" s="265" t="s">
        <v>1</v>
      </c>
      <c r="U178" s="513"/>
      <c r="V178" s="530" t="s">
        <v>1</v>
      </c>
      <c r="W178" s="516" t="s">
        <v>1</v>
      </c>
      <c r="X178" s="515" t="s">
        <v>57</v>
      </c>
      <c r="Y178" s="514" t="s">
        <v>1</v>
      </c>
      <c r="Z178" s="182"/>
      <c r="AA178" s="182"/>
      <c r="AB178" s="182"/>
      <c r="AC178" s="182"/>
      <c r="AD178" s="182"/>
    </row>
    <row r="179" spans="1:30" x14ac:dyDescent="0.25">
      <c r="A179" s="56" t="s">
        <v>316</v>
      </c>
      <c r="B179" s="262" t="s">
        <v>168</v>
      </c>
      <c r="C179" s="6" t="s">
        <v>242</v>
      </c>
      <c r="D179" s="252">
        <v>1</v>
      </c>
      <c r="E179" s="103">
        <v>1</v>
      </c>
      <c r="F179" s="104">
        <v>0</v>
      </c>
      <c r="G179" s="119">
        <v>0</v>
      </c>
      <c r="H179" s="103">
        <v>1</v>
      </c>
      <c r="I179" s="261">
        <v>0</v>
      </c>
      <c r="J179" s="119">
        <v>0</v>
      </c>
      <c r="K179" s="491">
        <f t="shared" si="68"/>
        <v>1</v>
      </c>
      <c r="L179" s="47">
        <f t="shared" si="69"/>
        <v>3726.3709260000001</v>
      </c>
      <c r="M179" s="192"/>
      <c r="N179" s="133">
        <v>179.52</v>
      </c>
      <c r="O179" s="782">
        <v>236.64</v>
      </c>
      <c r="P179" s="7">
        <f t="shared" si="70"/>
        <v>416.16</v>
      </c>
      <c r="Q179" s="65"/>
      <c r="R179" s="173" t="s">
        <v>867</v>
      </c>
      <c r="S179" s="767" t="s">
        <v>867</v>
      </c>
      <c r="T179" s="265" t="s">
        <v>1</v>
      </c>
      <c r="U179" s="513"/>
      <c r="V179" s="530"/>
      <c r="W179" s="516" t="s">
        <v>1</v>
      </c>
      <c r="X179" s="515" t="s">
        <v>1</v>
      </c>
      <c r="Y179" s="514" t="s">
        <v>57</v>
      </c>
      <c r="Z179" s="182"/>
      <c r="AA179" s="182"/>
      <c r="AB179" s="182"/>
      <c r="AC179" s="182"/>
      <c r="AD179" s="182"/>
    </row>
    <row r="180" spans="1:30" x14ac:dyDescent="0.25">
      <c r="A180" s="56" t="s">
        <v>306</v>
      </c>
      <c r="B180" s="262" t="s">
        <v>418</v>
      </c>
      <c r="C180" s="6" t="s">
        <v>242</v>
      </c>
      <c r="D180" s="252">
        <v>30</v>
      </c>
      <c r="E180" s="103">
        <v>31</v>
      </c>
      <c r="F180" s="104">
        <v>0</v>
      </c>
      <c r="G180" s="119">
        <v>0</v>
      </c>
      <c r="H180" s="103">
        <v>30</v>
      </c>
      <c r="I180" s="261">
        <v>0</v>
      </c>
      <c r="J180" s="119">
        <v>0</v>
      </c>
      <c r="K180" s="491">
        <f t="shared" si="68"/>
        <v>30.5</v>
      </c>
      <c r="L180" s="47">
        <f t="shared" si="69"/>
        <v>113654.313243</v>
      </c>
      <c r="M180" s="192"/>
      <c r="N180" s="133">
        <v>5940.48</v>
      </c>
      <c r="O180" s="782">
        <v>6623.2</v>
      </c>
      <c r="P180" s="7">
        <f t="shared" si="70"/>
        <v>12563.68</v>
      </c>
      <c r="Q180" s="65"/>
      <c r="R180" s="767" t="s">
        <v>867</v>
      </c>
      <c r="S180" s="767" t="s">
        <v>867</v>
      </c>
      <c r="T180" s="265" t="s">
        <v>1</v>
      </c>
      <c r="U180" s="508"/>
      <c r="V180" s="531"/>
      <c r="W180" s="509"/>
      <c r="X180" s="510"/>
      <c r="Y180" s="511"/>
      <c r="Z180" s="182"/>
      <c r="AA180" s="182"/>
      <c r="AB180" s="182"/>
      <c r="AC180" s="182"/>
      <c r="AD180" s="182"/>
    </row>
    <row r="181" spans="1:30" x14ac:dyDescent="0.25">
      <c r="A181" s="56" t="s">
        <v>306</v>
      </c>
      <c r="B181" s="262" t="s">
        <v>423</v>
      </c>
      <c r="C181" s="6" t="s">
        <v>243</v>
      </c>
      <c r="D181" s="252">
        <v>1</v>
      </c>
      <c r="E181" s="103">
        <v>1</v>
      </c>
      <c r="F181" s="261">
        <v>0</v>
      </c>
      <c r="G181" s="119">
        <v>0</v>
      </c>
      <c r="H181" s="103">
        <v>1</v>
      </c>
      <c r="I181" s="261">
        <v>0</v>
      </c>
      <c r="J181" s="119">
        <v>0</v>
      </c>
      <c r="K181" s="491">
        <f t="shared" si="68"/>
        <v>1</v>
      </c>
      <c r="L181" s="47">
        <f t="shared" si="69"/>
        <v>3726.3709260000001</v>
      </c>
      <c r="M181" s="192"/>
      <c r="N181" s="133">
        <v>0</v>
      </c>
      <c r="O181" s="782">
        <v>0</v>
      </c>
      <c r="P181" s="72">
        <f t="shared" si="70"/>
        <v>0</v>
      </c>
      <c r="Q181" s="65"/>
      <c r="R181" s="767" t="s">
        <v>867</v>
      </c>
      <c r="S181" s="767" t="s">
        <v>867</v>
      </c>
      <c r="T181" s="265" t="s">
        <v>1</v>
      </c>
      <c r="U181" s="508"/>
      <c r="V181" s="531"/>
      <c r="W181" s="509"/>
      <c r="X181" s="510"/>
      <c r="Y181" s="511"/>
      <c r="Z181" s="182"/>
      <c r="AA181" s="182"/>
      <c r="AB181" s="182"/>
      <c r="AC181" s="182"/>
      <c r="AD181" s="182"/>
    </row>
    <row r="182" spans="1:30" x14ac:dyDescent="0.25">
      <c r="A182" s="56"/>
      <c r="B182" s="262" t="s">
        <v>489</v>
      </c>
      <c r="C182" s="6" t="s">
        <v>495</v>
      </c>
      <c r="D182" s="252"/>
      <c r="E182" s="103"/>
      <c r="F182" s="261"/>
      <c r="G182" s="119"/>
      <c r="H182" s="103"/>
      <c r="I182" s="261"/>
      <c r="J182" s="119"/>
      <c r="K182" s="491">
        <f t="shared" si="68"/>
        <v>0</v>
      </c>
      <c r="L182" s="47">
        <f t="shared" si="69"/>
        <v>0</v>
      </c>
      <c r="M182" s="192"/>
      <c r="N182" s="133"/>
      <c r="O182" s="782"/>
      <c r="P182" s="72">
        <f t="shared" si="70"/>
        <v>0</v>
      </c>
      <c r="Q182" s="65"/>
      <c r="R182" s="185"/>
      <c r="S182" s="185"/>
      <c r="T182" s="265" t="s">
        <v>1</v>
      </c>
      <c r="U182" s="508"/>
      <c r="V182" s="531"/>
      <c r="W182" s="509"/>
      <c r="X182" s="510"/>
      <c r="Y182" s="511"/>
      <c r="Z182" s="182"/>
      <c r="AA182" s="182"/>
      <c r="AB182" s="182"/>
      <c r="AC182" s="182"/>
      <c r="AD182" s="182"/>
    </row>
    <row r="183" spans="1:30" x14ac:dyDescent="0.25">
      <c r="A183" s="56"/>
      <c r="B183" s="262" t="s">
        <v>417</v>
      </c>
      <c r="C183" s="6" t="s">
        <v>242</v>
      </c>
      <c r="D183" s="252">
        <v>3</v>
      </c>
      <c r="E183" s="103">
        <v>3</v>
      </c>
      <c r="F183" s="261">
        <v>0</v>
      </c>
      <c r="G183" s="119">
        <v>0</v>
      </c>
      <c r="H183" s="103">
        <v>3</v>
      </c>
      <c r="I183" s="261">
        <v>0</v>
      </c>
      <c r="J183" s="119">
        <v>0</v>
      </c>
      <c r="K183" s="491">
        <f t="shared" si="68"/>
        <v>3</v>
      </c>
      <c r="L183" s="47">
        <f t="shared" si="69"/>
        <v>11179.112778000001</v>
      </c>
      <c r="M183" s="192"/>
      <c r="N183" s="133">
        <v>0</v>
      </c>
      <c r="O183" s="782">
        <v>0</v>
      </c>
      <c r="P183" s="7">
        <f t="shared" si="70"/>
        <v>0</v>
      </c>
      <c r="Q183" s="65"/>
      <c r="R183" s="767" t="s">
        <v>867</v>
      </c>
      <c r="S183" s="767" t="s">
        <v>867</v>
      </c>
      <c r="T183" s="265" t="s">
        <v>1</v>
      </c>
      <c r="U183" s="508"/>
      <c r="V183" s="531"/>
      <c r="W183" s="509"/>
      <c r="X183" s="510"/>
      <c r="Y183" s="511"/>
      <c r="Z183" s="182"/>
      <c r="AA183" s="182"/>
      <c r="AB183" s="182"/>
      <c r="AC183" s="182"/>
      <c r="AD183" s="182"/>
    </row>
    <row r="184" spans="1:30" x14ac:dyDescent="0.25">
      <c r="A184" s="56"/>
      <c r="B184" s="262" t="s">
        <v>490</v>
      </c>
      <c r="C184" s="6" t="s">
        <v>244</v>
      </c>
      <c r="D184" s="252"/>
      <c r="E184" s="103">
        <v>4</v>
      </c>
      <c r="F184" s="261">
        <v>0</v>
      </c>
      <c r="G184" s="119">
        <v>0</v>
      </c>
      <c r="H184" s="174">
        <v>4</v>
      </c>
      <c r="I184" s="175">
        <v>0</v>
      </c>
      <c r="J184" s="176">
        <v>0</v>
      </c>
      <c r="K184" s="491">
        <f t="shared" si="68"/>
        <v>4</v>
      </c>
      <c r="L184" s="47">
        <f t="shared" si="69"/>
        <v>14905.483704</v>
      </c>
      <c r="M184" s="192"/>
      <c r="N184" s="7">
        <v>561.6</v>
      </c>
      <c r="O184" s="782">
        <v>617.4</v>
      </c>
      <c r="P184" s="7">
        <f t="shared" si="70"/>
        <v>1179</v>
      </c>
      <c r="Q184" s="65"/>
      <c r="R184" s="769" t="s">
        <v>867</v>
      </c>
      <c r="S184" s="767" t="s">
        <v>867</v>
      </c>
      <c r="T184" s="265" t="s">
        <v>1</v>
      </c>
      <c r="U184" s="508"/>
      <c r="V184" s="531"/>
      <c r="W184" s="509"/>
      <c r="X184" s="510"/>
      <c r="Y184" s="511"/>
      <c r="Z184" s="182"/>
      <c r="AA184" s="182"/>
      <c r="AB184" s="182"/>
      <c r="AC184" s="182"/>
      <c r="AD184" s="182"/>
    </row>
    <row r="185" spans="1:30" x14ac:dyDescent="0.25">
      <c r="A185" s="56" t="s">
        <v>306</v>
      </c>
      <c r="B185" s="262" t="s">
        <v>416</v>
      </c>
      <c r="C185" s="6" t="s">
        <v>242</v>
      </c>
      <c r="D185" s="252"/>
      <c r="E185" s="103"/>
      <c r="F185" s="128"/>
      <c r="G185" s="119"/>
      <c r="H185" s="103"/>
      <c r="I185" s="261"/>
      <c r="J185" s="119"/>
      <c r="K185" s="491">
        <f t="shared" si="68"/>
        <v>0</v>
      </c>
      <c r="L185" s="47">
        <f t="shared" si="69"/>
        <v>0</v>
      </c>
      <c r="M185" s="192"/>
      <c r="N185" s="133"/>
      <c r="O185" s="782"/>
      <c r="P185" s="7">
        <f t="shared" si="70"/>
        <v>0</v>
      </c>
      <c r="Q185" s="65"/>
      <c r="R185" s="173"/>
      <c r="S185" s="767"/>
      <c r="T185" s="265" t="s">
        <v>1</v>
      </c>
      <c r="U185" s="508"/>
      <c r="V185" s="531"/>
      <c r="W185" s="509"/>
      <c r="X185" s="510"/>
      <c r="Y185" s="511"/>
      <c r="Z185" s="182"/>
      <c r="AA185" s="182"/>
      <c r="AB185" s="182"/>
      <c r="AC185" s="182"/>
      <c r="AD185" s="182"/>
    </row>
    <row r="186" spans="1:30" ht="13.8" thickBot="1" x14ac:dyDescent="0.3">
      <c r="A186" s="63"/>
      <c r="B186" s="63" t="s">
        <v>54</v>
      </c>
      <c r="C186" s="63"/>
      <c r="D186" s="169"/>
      <c r="E186" s="113"/>
      <c r="F186" s="114"/>
      <c r="G186" s="124"/>
      <c r="H186" s="113"/>
      <c r="I186" s="114"/>
      <c r="J186" s="124"/>
      <c r="K186" s="99">
        <f>SUM(K178:K185)</f>
        <v>43</v>
      </c>
      <c r="L186" s="94">
        <f t="shared" si="69"/>
        <v>160233.95000000001</v>
      </c>
      <c r="M186" s="197">
        <f>SUM(L178:L185)</f>
        <v>160233.94981799999</v>
      </c>
      <c r="N186" s="64"/>
      <c r="O186" s="64"/>
      <c r="P186" s="64"/>
      <c r="Q186" s="64">
        <f>SUM(P178:P185)</f>
        <v>15608.6</v>
      </c>
      <c r="R186" s="185"/>
      <c r="S186" s="185"/>
      <c r="T186" s="182"/>
      <c r="U186" s="891">
        <v>4975</v>
      </c>
      <c r="V186" s="892">
        <f>U186*2</f>
        <v>9950</v>
      </c>
      <c r="W186" s="893">
        <f>V186*0.75</f>
        <v>7462.5</v>
      </c>
      <c r="X186" s="894">
        <f>K186</f>
        <v>43</v>
      </c>
      <c r="Y186" s="895">
        <f>X186*W186</f>
        <v>320887.5</v>
      </c>
      <c r="Z186" s="182"/>
      <c r="AA186" s="182"/>
      <c r="AB186" s="182"/>
      <c r="AC186" s="182"/>
      <c r="AD186" s="182"/>
    </row>
    <row r="187" spans="1:30" x14ac:dyDescent="0.25">
      <c r="A187" s="457" t="s">
        <v>140</v>
      </c>
      <c r="B187" s="6" t="s">
        <v>420</v>
      </c>
      <c r="C187" s="6" t="s">
        <v>245</v>
      </c>
      <c r="E187" s="134">
        <v>3</v>
      </c>
      <c r="F187" s="261">
        <v>0</v>
      </c>
      <c r="G187" s="135">
        <v>0</v>
      </c>
      <c r="H187" s="134">
        <v>3</v>
      </c>
      <c r="I187" s="97">
        <v>0</v>
      </c>
      <c r="J187" s="135">
        <v>0</v>
      </c>
      <c r="K187" s="491">
        <f t="shared" ref="K187:K188" si="71">(SUM(E187+H187)+((F187+I187)*0.6667)+(G187+J187)*0.3333)/2</f>
        <v>3</v>
      </c>
      <c r="L187" s="47">
        <f t="shared" si="69"/>
        <v>11179.112778000001</v>
      </c>
      <c r="M187" s="198"/>
      <c r="N187" s="133">
        <v>0</v>
      </c>
      <c r="O187" s="133">
        <v>0</v>
      </c>
      <c r="P187" s="88">
        <f>N187+O187</f>
        <v>0</v>
      </c>
      <c r="Q187" s="65"/>
      <c r="R187" s="767" t="s">
        <v>867</v>
      </c>
      <c r="S187" s="767" t="s">
        <v>867</v>
      </c>
      <c r="T187" s="182"/>
      <c r="U187" s="523"/>
      <c r="V187" s="529"/>
      <c r="W187" s="522" t="s">
        <v>1</v>
      </c>
      <c r="X187" s="521" t="s">
        <v>1</v>
      </c>
      <c r="Y187" s="524" t="s">
        <v>1</v>
      </c>
      <c r="Z187" s="182"/>
      <c r="AA187" s="182"/>
      <c r="AB187" s="182"/>
      <c r="AC187" s="182"/>
      <c r="AD187" s="182"/>
    </row>
    <row r="188" spans="1:30" x14ac:dyDescent="0.25">
      <c r="A188" s="457" t="s">
        <v>205</v>
      </c>
      <c r="B188" s="262" t="s">
        <v>421</v>
      </c>
      <c r="C188" s="262" t="s">
        <v>246</v>
      </c>
      <c r="D188" s="265"/>
      <c r="E188" s="174"/>
      <c r="F188" s="175"/>
      <c r="G188" s="176"/>
      <c r="H188" s="174"/>
      <c r="I188" s="175"/>
      <c r="J188" s="176"/>
      <c r="K188" s="491">
        <f t="shared" si="71"/>
        <v>0</v>
      </c>
      <c r="L188" s="47">
        <f t="shared" si="69"/>
        <v>0</v>
      </c>
      <c r="M188" s="362"/>
      <c r="N188" s="133"/>
      <c r="O188" s="133"/>
      <c r="P188" s="72">
        <f>N188+O188</f>
        <v>0</v>
      </c>
      <c r="Q188" s="65"/>
      <c r="R188" s="769"/>
      <c r="S188" s="185"/>
      <c r="T188" s="182"/>
      <c r="U188" s="508"/>
      <c r="V188" s="531"/>
      <c r="W188" s="509"/>
      <c r="X188" s="510"/>
      <c r="Y188" s="512"/>
      <c r="Z188" s="182"/>
      <c r="AA188" s="182"/>
      <c r="AB188" s="182"/>
      <c r="AC188" s="182"/>
      <c r="AD188" s="182"/>
    </row>
    <row r="189" spans="1:30" ht="13.8" thickBot="1" x14ac:dyDescent="0.3">
      <c r="A189" s="63"/>
      <c r="B189" s="63" t="s">
        <v>54</v>
      </c>
      <c r="C189" s="63"/>
      <c r="D189" s="169"/>
      <c r="E189" s="113"/>
      <c r="F189" s="114"/>
      <c r="G189" s="124"/>
      <c r="H189" s="113"/>
      <c r="I189" s="114"/>
      <c r="J189" s="124"/>
      <c r="K189" s="99">
        <f>SUM(K187:K188)</f>
        <v>3</v>
      </c>
      <c r="L189" s="94"/>
      <c r="M189" s="197">
        <f>SUM(L187:L188)</f>
        <v>11179.112778000001</v>
      </c>
      <c r="N189" s="64"/>
      <c r="O189" s="64"/>
      <c r="P189" s="64"/>
      <c r="Q189" s="64">
        <f>SUM(P187:P188)</f>
        <v>0</v>
      </c>
      <c r="R189" s="185"/>
      <c r="S189" s="185"/>
      <c r="T189" s="182"/>
      <c r="U189" s="882">
        <v>3333</v>
      </c>
      <c r="V189" s="883">
        <f>U189*2</f>
        <v>6666</v>
      </c>
      <c r="W189" s="884">
        <f>V189*0.75</f>
        <v>4999.5</v>
      </c>
      <c r="X189" s="885">
        <f>K189</f>
        <v>3</v>
      </c>
      <c r="Y189" s="886">
        <f>X189*W189</f>
        <v>14998.5</v>
      </c>
      <c r="Z189" s="182" t="s">
        <v>831</v>
      </c>
      <c r="AA189" s="182"/>
      <c r="AB189" s="182"/>
      <c r="AC189" s="182"/>
      <c r="AD189" s="182"/>
    </row>
    <row r="190" spans="1:30" x14ac:dyDescent="0.25">
      <c r="A190" s="457" t="s">
        <v>62</v>
      </c>
      <c r="B190" s="262" t="s">
        <v>428</v>
      </c>
      <c r="C190" s="6" t="s">
        <v>247</v>
      </c>
      <c r="D190" s="36">
        <v>7</v>
      </c>
      <c r="E190" s="174">
        <v>7</v>
      </c>
      <c r="F190" s="175">
        <v>0</v>
      </c>
      <c r="G190" s="176">
        <v>0</v>
      </c>
      <c r="H190" s="174">
        <v>7</v>
      </c>
      <c r="I190" s="175">
        <v>0</v>
      </c>
      <c r="J190" s="176">
        <v>0</v>
      </c>
      <c r="K190" s="491">
        <f t="shared" ref="K190:K192" si="72">(SUM(E190+H190)+((F190+I190)*0.6667)+(G190+J190)*0.3333)/2</f>
        <v>7</v>
      </c>
      <c r="L190" s="47">
        <f>$B$266*K190</f>
        <v>26084.596482000001</v>
      </c>
      <c r="M190" s="192"/>
      <c r="N190" s="133">
        <v>603</v>
      </c>
      <c r="O190" s="782">
        <v>576.9</v>
      </c>
      <c r="P190" s="7">
        <f>N190+O190</f>
        <v>1179.9000000000001</v>
      </c>
      <c r="Q190" s="65"/>
      <c r="R190" s="769" t="s">
        <v>867</v>
      </c>
      <c r="S190" s="769" t="s">
        <v>867</v>
      </c>
      <c r="T190" s="265" t="s">
        <v>1</v>
      </c>
      <c r="U190" s="505"/>
      <c r="V190" s="558"/>
      <c r="W190" s="506"/>
      <c r="X190" s="507"/>
      <c r="Y190" s="553"/>
      <c r="Z190" s="182"/>
      <c r="AA190" s="182"/>
      <c r="AB190" s="182"/>
      <c r="AC190" s="182"/>
      <c r="AD190" s="182"/>
    </row>
    <row r="191" spans="1:30" s="247" customFormat="1" x14ac:dyDescent="0.25">
      <c r="A191" s="457"/>
      <c r="B191" s="262" t="s">
        <v>601</v>
      </c>
      <c r="C191" s="248" t="s">
        <v>247</v>
      </c>
      <c r="D191" s="252">
        <v>1</v>
      </c>
      <c r="E191" s="174">
        <v>1</v>
      </c>
      <c r="F191" s="175">
        <v>0</v>
      </c>
      <c r="G191" s="176">
        <v>0</v>
      </c>
      <c r="H191" s="174">
        <v>1</v>
      </c>
      <c r="I191" s="175">
        <v>0</v>
      </c>
      <c r="J191" s="176">
        <v>0</v>
      </c>
      <c r="K191" s="491">
        <f t="shared" si="72"/>
        <v>1</v>
      </c>
      <c r="L191" s="47">
        <f>$B$266*K191</f>
        <v>3726.3709260000001</v>
      </c>
      <c r="M191" s="268"/>
      <c r="N191" s="133">
        <v>157.5</v>
      </c>
      <c r="O191" s="133">
        <v>146.69999999999999</v>
      </c>
      <c r="P191" s="249">
        <f>N191+O191</f>
        <v>304.2</v>
      </c>
      <c r="Q191" s="65"/>
      <c r="R191" s="769" t="s">
        <v>867</v>
      </c>
      <c r="S191" s="769" t="s">
        <v>867</v>
      </c>
      <c r="T191" s="182"/>
      <c r="U191" s="513"/>
      <c r="V191" s="530" t="s">
        <v>1</v>
      </c>
      <c r="W191" s="516" t="s">
        <v>1</v>
      </c>
      <c r="X191" s="515" t="s">
        <v>1</v>
      </c>
      <c r="Y191" s="514" t="s">
        <v>1</v>
      </c>
      <c r="Z191" s="182"/>
      <c r="AA191" s="182"/>
      <c r="AB191" s="182"/>
      <c r="AC191" s="182"/>
      <c r="AD191" s="182"/>
    </row>
    <row r="192" spans="1:30" x14ac:dyDescent="0.25">
      <c r="A192" s="248"/>
      <c r="B192" s="248" t="s">
        <v>63</v>
      </c>
      <c r="C192" s="248" t="s">
        <v>247</v>
      </c>
      <c r="D192" s="252">
        <v>1</v>
      </c>
      <c r="E192" s="130">
        <v>1</v>
      </c>
      <c r="F192" s="722">
        <v>0</v>
      </c>
      <c r="G192" s="723">
        <v>0</v>
      </c>
      <c r="H192" s="134">
        <v>1</v>
      </c>
      <c r="I192" s="722">
        <v>0</v>
      </c>
      <c r="J192" s="135">
        <v>0</v>
      </c>
      <c r="K192" s="491">
        <f t="shared" si="72"/>
        <v>1</v>
      </c>
      <c r="L192" s="486">
        <f>$B$266*K192</f>
        <v>3726.3709260000001</v>
      </c>
      <c r="M192" s="198"/>
      <c r="N192" s="140">
        <v>0</v>
      </c>
      <c r="O192" s="140">
        <v>0</v>
      </c>
      <c r="P192" s="257">
        <f>N192+O192</f>
        <v>0</v>
      </c>
      <c r="Q192" s="65"/>
      <c r="R192" s="769" t="s">
        <v>867</v>
      </c>
      <c r="S192" s="185" t="s">
        <v>867</v>
      </c>
      <c r="T192" s="182"/>
      <c r="U192" s="513"/>
      <c r="V192" s="530"/>
      <c r="W192" s="516" t="s">
        <v>1</v>
      </c>
      <c r="X192" s="515" t="s">
        <v>1</v>
      </c>
      <c r="Y192" s="514" t="s">
        <v>1</v>
      </c>
      <c r="Z192" s="182"/>
      <c r="AA192" s="182"/>
      <c r="AB192" s="182"/>
      <c r="AC192" s="182"/>
      <c r="AD192" s="182"/>
    </row>
    <row r="193" spans="1:30" s="864" customFormat="1" x14ac:dyDescent="0.25">
      <c r="A193" s="457" t="s">
        <v>1</v>
      </c>
      <c r="B193" s="866" t="s">
        <v>876</v>
      </c>
      <c r="C193" s="866" t="s">
        <v>247</v>
      </c>
      <c r="D193" s="490">
        <v>1</v>
      </c>
      <c r="E193" s="130">
        <v>1</v>
      </c>
      <c r="F193" s="722">
        <v>0</v>
      </c>
      <c r="G193" s="723">
        <v>0</v>
      </c>
      <c r="H193" s="134">
        <v>1</v>
      </c>
      <c r="I193" s="722">
        <v>0</v>
      </c>
      <c r="J193" s="135">
        <v>0</v>
      </c>
      <c r="K193" s="491">
        <f t="shared" ref="K193" si="73">(SUM(E193+H193)+((F193+I193)*0.6667)+(G193+J193)*0.3333)/2</f>
        <v>1</v>
      </c>
      <c r="L193" s="486">
        <f>$B$266*K193</f>
        <v>3726.3709260000001</v>
      </c>
      <c r="M193" s="198"/>
      <c r="N193" s="140">
        <v>78.3</v>
      </c>
      <c r="O193" s="140">
        <v>77.400000000000006</v>
      </c>
      <c r="P193" s="257">
        <f>N193+O193</f>
        <v>155.69999999999999</v>
      </c>
      <c r="Q193" s="65"/>
      <c r="R193" s="769" t="s">
        <v>867</v>
      </c>
      <c r="S193" s="769" t="s">
        <v>867</v>
      </c>
      <c r="T193" s="784"/>
      <c r="U193" s="513"/>
      <c r="V193" s="530"/>
      <c r="W193" s="516" t="s">
        <v>1</v>
      </c>
      <c r="X193" s="515" t="s">
        <v>1</v>
      </c>
      <c r="Y193" s="514" t="s">
        <v>1</v>
      </c>
      <c r="Z193" s="784"/>
      <c r="AA193" s="784"/>
      <c r="AB193" s="784"/>
      <c r="AC193" s="784"/>
      <c r="AD193" s="784"/>
    </row>
    <row r="194" spans="1:30" ht="13.8" thickBot="1" x14ac:dyDescent="0.3">
      <c r="A194" s="63"/>
      <c r="B194" s="63" t="s">
        <v>54</v>
      </c>
      <c r="C194" s="63"/>
      <c r="D194" s="169"/>
      <c r="E194" s="113"/>
      <c r="F194" s="114"/>
      <c r="G194" s="124"/>
      <c r="H194" s="113"/>
      <c r="I194" s="114"/>
      <c r="J194" s="124"/>
      <c r="K194" s="99">
        <f>SUM(K190:K193)</f>
        <v>10</v>
      </c>
      <c r="L194" s="94"/>
      <c r="M194" s="199">
        <f>SUM(L190:L193)</f>
        <v>37263.709260000003</v>
      </c>
      <c r="N194" s="64"/>
      <c r="O194" s="64"/>
      <c r="P194" s="64"/>
      <c r="Q194" s="64">
        <f>SUM(P190:P193)</f>
        <v>1639.8</v>
      </c>
      <c r="R194" s="185"/>
      <c r="S194" s="185"/>
      <c r="T194" s="182"/>
      <c r="U194" s="891">
        <v>1950</v>
      </c>
      <c r="V194" s="892">
        <f>U194*2</f>
        <v>3900</v>
      </c>
      <c r="W194" s="893">
        <f>V194*0.75</f>
        <v>2925</v>
      </c>
      <c r="X194" s="894">
        <f>K194</f>
        <v>10</v>
      </c>
      <c r="Y194" s="895">
        <f>X194*W194</f>
        <v>29250</v>
      </c>
      <c r="Z194" s="182"/>
      <c r="AA194" s="182"/>
      <c r="AB194" s="182"/>
      <c r="AC194" s="182"/>
      <c r="AD194" s="182"/>
    </row>
    <row r="195" spans="1:30" s="6" customFormat="1" x14ac:dyDescent="0.25">
      <c r="A195" s="262" t="s">
        <v>24</v>
      </c>
      <c r="B195" s="136" t="s">
        <v>271</v>
      </c>
      <c r="C195" s="136" t="s">
        <v>270</v>
      </c>
      <c r="D195" s="168">
        <v>44</v>
      </c>
      <c r="E195" s="137">
        <v>42</v>
      </c>
      <c r="F195" s="138">
        <v>1</v>
      </c>
      <c r="G195" s="139">
        <v>1</v>
      </c>
      <c r="H195" s="896">
        <v>40</v>
      </c>
      <c r="I195" s="897">
        <v>0</v>
      </c>
      <c r="J195" s="898">
        <v>0</v>
      </c>
      <c r="K195" s="491">
        <f t="shared" ref="K195:K202" si="74">(SUM(E195+H195)+((F195+I195)*0.6667)+(G195+J195)*0.3333)/2</f>
        <v>41.5</v>
      </c>
      <c r="L195" s="47">
        <f t="shared" ref="L195:L207" si="75">$B$266*K195</f>
        <v>154644.39342899999</v>
      </c>
      <c r="M195" s="198"/>
      <c r="N195" s="140">
        <v>10143</v>
      </c>
      <c r="O195" s="140">
        <v>9105</v>
      </c>
      <c r="P195" s="7">
        <f t="shared" ref="P195:P202" si="76">N195+O195</f>
        <v>19248</v>
      </c>
      <c r="Q195" s="141"/>
      <c r="R195" s="173" t="s">
        <v>867</v>
      </c>
      <c r="S195" s="767" t="s">
        <v>867</v>
      </c>
      <c r="T195" s="262"/>
      <c r="U195" s="505"/>
      <c r="V195" s="558"/>
      <c r="W195" s="506"/>
      <c r="X195" s="507"/>
      <c r="Y195" s="553"/>
      <c r="Z195" s="262"/>
      <c r="AA195" s="262"/>
      <c r="AB195" s="262"/>
      <c r="AC195" s="262"/>
      <c r="AD195" s="262"/>
    </row>
    <row r="196" spans="1:30" x14ac:dyDescent="0.25">
      <c r="A196" s="56" t="s">
        <v>173</v>
      </c>
      <c r="B196" s="6" t="s">
        <v>422</v>
      </c>
      <c r="C196" s="6" t="s">
        <v>272</v>
      </c>
      <c r="D196" s="36">
        <v>9</v>
      </c>
      <c r="E196" s="103">
        <v>9</v>
      </c>
      <c r="F196" s="722">
        <v>0</v>
      </c>
      <c r="G196" s="119">
        <v>0</v>
      </c>
      <c r="H196" s="174">
        <v>9</v>
      </c>
      <c r="I196" s="175">
        <v>0</v>
      </c>
      <c r="J196" s="176">
        <v>0</v>
      </c>
      <c r="K196" s="491">
        <f t="shared" si="74"/>
        <v>9</v>
      </c>
      <c r="L196" s="47">
        <f t="shared" si="75"/>
        <v>33537.338334</v>
      </c>
      <c r="M196" s="192"/>
      <c r="N196" s="7">
        <v>867.6</v>
      </c>
      <c r="O196" s="7">
        <v>920.4</v>
      </c>
      <c r="P196" s="7">
        <f t="shared" si="76"/>
        <v>1788</v>
      </c>
      <c r="Q196" s="65"/>
      <c r="R196" s="173" t="s">
        <v>867</v>
      </c>
      <c r="S196" s="185" t="s">
        <v>867</v>
      </c>
      <c r="T196" s="182"/>
      <c r="U196" s="508"/>
      <c r="V196" s="531"/>
      <c r="W196" s="509"/>
      <c r="X196" s="510"/>
      <c r="Y196" s="511"/>
      <c r="Z196" s="182"/>
      <c r="AA196" s="182"/>
      <c r="AB196" s="182"/>
      <c r="AC196" s="182"/>
      <c r="AD196" s="182"/>
    </row>
    <row r="197" spans="1:30" s="247" customFormat="1" x14ac:dyDescent="0.25">
      <c r="A197" s="56"/>
      <c r="B197" s="248" t="s">
        <v>192</v>
      </c>
      <c r="C197" s="248" t="s">
        <v>253</v>
      </c>
      <c r="D197" s="252"/>
      <c r="E197" s="103"/>
      <c r="F197" s="104"/>
      <c r="G197" s="119"/>
      <c r="H197" s="174"/>
      <c r="I197" s="175"/>
      <c r="J197" s="176"/>
      <c r="K197" s="491">
        <f t="shared" si="74"/>
        <v>0</v>
      </c>
      <c r="L197" s="47">
        <f>$B$266*K197</f>
        <v>0</v>
      </c>
      <c r="M197" s="268"/>
      <c r="N197" s="249"/>
      <c r="O197" s="249"/>
      <c r="P197" s="249">
        <f t="shared" si="76"/>
        <v>0</v>
      </c>
      <c r="Q197" s="65"/>
      <c r="R197" s="173"/>
      <c r="S197" s="185"/>
      <c r="T197" s="182"/>
      <c r="U197" s="508"/>
      <c r="V197" s="531"/>
      <c r="W197" s="509"/>
      <c r="X197" s="510"/>
      <c r="Y197" s="511"/>
      <c r="Z197" s="182"/>
      <c r="AA197" s="182"/>
      <c r="AB197" s="182"/>
      <c r="AC197" s="182"/>
      <c r="AD197" s="182"/>
    </row>
    <row r="198" spans="1:30" x14ac:dyDescent="0.25">
      <c r="A198" s="56"/>
      <c r="B198" s="6" t="s">
        <v>492</v>
      </c>
      <c r="C198" s="6" t="s">
        <v>273</v>
      </c>
      <c r="D198" s="36">
        <v>51</v>
      </c>
      <c r="E198" s="103">
        <v>52</v>
      </c>
      <c r="F198" s="104">
        <v>0</v>
      </c>
      <c r="G198" s="119">
        <v>0</v>
      </c>
      <c r="H198" s="103">
        <v>51</v>
      </c>
      <c r="I198" s="261">
        <v>0</v>
      </c>
      <c r="J198" s="119">
        <v>0</v>
      </c>
      <c r="K198" s="491">
        <f t="shared" si="74"/>
        <v>51.5</v>
      </c>
      <c r="L198" s="47">
        <f t="shared" si="75"/>
        <v>191908.10268899999</v>
      </c>
      <c r="M198" s="192"/>
      <c r="N198" s="782">
        <v>4720.8</v>
      </c>
      <c r="O198" s="782">
        <v>4838.3999999999996</v>
      </c>
      <c r="P198" s="488">
        <f t="shared" si="76"/>
        <v>9559.2000000000007</v>
      </c>
      <c r="Q198" s="65"/>
      <c r="R198" s="185" t="s">
        <v>867</v>
      </c>
      <c r="S198" s="173" t="s">
        <v>867</v>
      </c>
      <c r="T198" s="182"/>
      <c r="U198" s="508"/>
      <c r="V198" s="531"/>
      <c r="W198" s="509"/>
      <c r="X198" s="510"/>
      <c r="Y198" s="511"/>
      <c r="Z198" s="182"/>
      <c r="AA198" s="182"/>
      <c r="AB198" s="182"/>
      <c r="AC198" s="182"/>
      <c r="AD198" s="182"/>
    </row>
    <row r="199" spans="1:30" x14ac:dyDescent="0.25">
      <c r="A199" s="56"/>
      <c r="B199" s="6" t="s">
        <v>423</v>
      </c>
      <c r="C199" s="6" t="s">
        <v>243</v>
      </c>
      <c r="D199" s="36">
        <v>3</v>
      </c>
      <c r="E199" s="103">
        <v>3</v>
      </c>
      <c r="F199" s="261">
        <v>0</v>
      </c>
      <c r="G199" s="119">
        <v>0</v>
      </c>
      <c r="H199" s="103">
        <v>3</v>
      </c>
      <c r="I199" s="261">
        <v>0</v>
      </c>
      <c r="J199" s="119">
        <v>0</v>
      </c>
      <c r="K199" s="491">
        <f t="shared" si="74"/>
        <v>3</v>
      </c>
      <c r="L199" s="47">
        <f t="shared" si="75"/>
        <v>11179.112778000001</v>
      </c>
      <c r="M199" s="192"/>
      <c r="N199" s="133">
        <v>0</v>
      </c>
      <c r="O199" s="133">
        <v>0</v>
      </c>
      <c r="P199" s="72">
        <f t="shared" si="76"/>
        <v>0</v>
      </c>
      <c r="Q199" s="65"/>
      <c r="R199" s="767" t="s">
        <v>867</v>
      </c>
      <c r="S199" s="173" t="s">
        <v>867</v>
      </c>
      <c r="T199" s="262"/>
      <c r="U199" s="513"/>
      <c r="V199" s="530" t="s">
        <v>1</v>
      </c>
      <c r="W199" s="516" t="s">
        <v>1</v>
      </c>
      <c r="X199" s="515" t="s">
        <v>1</v>
      </c>
      <c r="Y199" s="514" t="s">
        <v>1</v>
      </c>
      <c r="Z199" s="182"/>
      <c r="AA199" s="182"/>
      <c r="AB199" s="182"/>
      <c r="AC199" s="182"/>
      <c r="AD199" s="182"/>
    </row>
    <row r="200" spans="1:30" x14ac:dyDescent="0.25">
      <c r="A200" s="56"/>
      <c r="B200" s="6" t="s">
        <v>424</v>
      </c>
      <c r="C200" s="6" t="s">
        <v>242</v>
      </c>
      <c r="E200" s="103"/>
      <c r="F200" s="261"/>
      <c r="G200" s="119"/>
      <c r="H200" s="103"/>
      <c r="I200" s="261"/>
      <c r="J200" s="119"/>
      <c r="K200" s="491">
        <f t="shared" si="74"/>
        <v>0</v>
      </c>
      <c r="L200" s="47">
        <f t="shared" si="75"/>
        <v>0</v>
      </c>
      <c r="M200" s="192"/>
      <c r="N200" s="133"/>
      <c r="O200" s="133"/>
      <c r="P200" s="72">
        <f t="shared" si="76"/>
        <v>0</v>
      </c>
      <c r="Q200" s="65"/>
      <c r="R200" s="173"/>
      <c r="S200" s="185"/>
      <c r="T200" s="182"/>
      <c r="U200" s="513"/>
      <c r="V200" s="530"/>
      <c r="W200" s="516" t="s">
        <v>1</v>
      </c>
      <c r="X200" s="515" t="s">
        <v>1</v>
      </c>
      <c r="Y200" s="514" t="s">
        <v>1</v>
      </c>
      <c r="Z200" s="182"/>
      <c r="AA200" s="182"/>
      <c r="AB200" s="182"/>
      <c r="AC200" s="182"/>
      <c r="AD200" s="182"/>
    </row>
    <row r="201" spans="1:30" x14ac:dyDescent="0.25">
      <c r="A201" s="56"/>
      <c r="B201" s="262" t="s">
        <v>425</v>
      </c>
      <c r="C201" s="6" t="s">
        <v>244</v>
      </c>
      <c r="E201" s="103">
        <v>1</v>
      </c>
      <c r="F201" s="261">
        <v>0</v>
      </c>
      <c r="G201" s="119">
        <v>0</v>
      </c>
      <c r="H201" s="174">
        <v>1</v>
      </c>
      <c r="I201" s="175">
        <v>0</v>
      </c>
      <c r="J201" s="176">
        <v>0</v>
      </c>
      <c r="K201" s="491">
        <f t="shared" si="74"/>
        <v>1</v>
      </c>
      <c r="L201" s="47">
        <f t="shared" si="75"/>
        <v>3726.3709260000001</v>
      </c>
      <c r="M201" s="192"/>
      <c r="N201" s="133">
        <v>343.2</v>
      </c>
      <c r="O201" s="133">
        <v>396</v>
      </c>
      <c r="P201" s="7">
        <f t="shared" si="76"/>
        <v>739.2</v>
      </c>
      <c r="Q201" s="65"/>
      <c r="R201" s="769" t="s">
        <v>867</v>
      </c>
      <c r="S201" s="767" t="s">
        <v>867</v>
      </c>
      <c r="T201" s="185"/>
      <c r="U201" s="508"/>
      <c r="V201" s="531"/>
      <c r="W201" s="509"/>
      <c r="X201" s="510"/>
      <c r="Y201" s="511"/>
      <c r="Z201" s="182"/>
      <c r="AA201" s="182"/>
      <c r="AB201" s="182"/>
      <c r="AC201" s="182"/>
      <c r="AD201" s="182"/>
    </row>
    <row r="202" spans="1:30" s="247" customFormat="1" x14ac:dyDescent="0.25">
      <c r="A202" s="262" t="s">
        <v>1</v>
      </c>
      <c r="B202" s="248" t="s">
        <v>416</v>
      </c>
      <c r="C202" s="248" t="s">
        <v>242</v>
      </c>
      <c r="D202" s="252"/>
      <c r="E202" s="103"/>
      <c r="F202" s="261"/>
      <c r="G202" s="119"/>
      <c r="H202" s="103"/>
      <c r="I202" s="261"/>
      <c r="J202" s="119"/>
      <c r="K202" s="491">
        <f t="shared" si="74"/>
        <v>0</v>
      </c>
      <c r="L202" s="47">
        <f>$B$266*K202</f>
        <v>0</v>
      </c>
      <c r="M202" s="268"/>
      <c r="N202" s="133"/>
      <c r="O202" s="133"/>
      <c r="P202" s="249">
        <f t="shared" si="76"/>
        <v>0</v>
      </c>
      <c r="Q202" s="65"/>
      <c r="R202" s="185"/>
      <c r="S202" s="173"/>
      <c r="T202" s="262"/>
      <c r="U202" s="508"/>
      <c r="V202" s="531"/>
      <c r="W202" s="509"/>
      <c r="X202" s="510"/>
      <c r="Y202" s="511"/>
      <c r="Z202" s="182"/>
      <c r="AA202" s="182"/>
      <c r="AB202" s="182"/>
      <c r="AC202" s="182"/>
      <c r="AD202" s="182"/>
    </row>
    <row r="203" spans="1:30" ht="13.8" thickBot="1" x14ac:dyDescent="0.3">
      <c r="A203" s="63"/>
      <c r="B203" s="63" t="s">
        <v>54</v>
      </c>
      <c r="C203" s="63"/>
      <c r="D203" s="169"/>
      <c r="E203" s="113"/>
      <c r="F203" s="114"/>
      <c r="G203" s="124"/>
      <c r="H203" s="113"/>
      <c r="I203" s="114"/>
      <c r="J203" s="124"/>
      <c r="K203" s="99">
        <f>SUM(K195:K202)</f>
        <v>106</v>
      </c>
      <c r="L203" s="94">
        <f>$B$266*K203</f>
        <v>394995.31800000003</v>
      </c>
      <c r="M203" s="199">
        <f>SUM(L195:L202)</f>
        <v>394995.31815599999</v>
      </c>
      <c r="N203" s="64"/>
      <c r="O203" s="64"/>
      <c r="P203" s="64"/>
      <c r="Q203" s="64">
        <f>SUM(P195:P202)</f>
        <v>31334.400000000001</v>
      </c>
      <c r="R203" s="185"/>
      <c r="S203" s="185"/>
      <c r="T203" s="182"/>
      <c r="U203" s="891">
        <v>4381</v>
      </c>
      <c r="V203" s="892">
        <f>U203*2</f>
        <v>8762</v>
      </c>
      <c r="W203" s="893">
        <f>V203*0.75</f>
        <v>6571.5</v>
      </c>
      <c r="X203" s="894">
        <f>K203</f>
        <v>106</v>
      </c>
      <c r="Y203" s="895">
        <f>X203*W203</f>
        <v>696579</v>
      </c>
      <c r="Z203" s="182"/>
      <c r="AA203" s="182"/>
      <c r="AB203" s="182"/>
      <c r="AC203" s="182"/>
      <c r="AD203" s="182"/>
    </row>
    <row r="204" spans="1:30" x14ac:dyDescent="0.25">
      <c r="A204" s="457" t="s">
        <v>151</v>
      </c>
      <c r="B204" s="262" t="s">
        <v>426</v>
      </c>
      <c r="C204" s="262" t="s">
        <v>262</v>
      </c>
      <c r="D204" s="265"/>
      <c r="E204" s="174"/>
      <c r="F204" s="175"/>
      <c r="G204" s="176"/>
      <c r="H204" s="174"/>
      <c r="I204" s="175"/>
      <c r="J204" s="176"/>
      <c r="K204" s="491">
        <f>(SUM(E204+H204)+((F204+I204)*0.6667)+(G204+J204)*0.3333)/2</f>
        <v>0</v>
      </c>
      <c r="L204" s="47">
        <f t="shared" si="75"/>
        <v>0</v>
      </c>
      <c r="M204" s="362"/>
      <c r="N204" s="7"/>
      <c r="O204" s="7"/>
      <c r="P204" s="4">
        <f>N204+O204</f>
        <v>0</v>
      </c>
      <c r="Q204" s="65"/>
      <c r="R204" s="185"/>
      <c r="S204" s="185"/>
      <c r="T204" s="182"/>
      <c r="U204" s="508"/>
      <c r="V204" s="531"/>
      <c r="W204" s="509"/>
      <c r="X204" s="510"/>
      <c r="Y204" s="511"/>
      <c r="Z204" s="182"/>
      <c r="AA204" s="182"/>
      <c r="AB204" s="182"/>
      <c r="AC204" s="182"/>
      <c r="AD204" s="182"/>
    </row>
    <row r="205" spans="1:30" ht="13.8" thickBot="1" x14ac:dyDescent="0.3">
      <c r="A205" s="63"/>
      <c r="B205" s="63" t="s">
        <v>54</v>
      </c>
      <c r="C205" s="63"/>
      <c r="D205" s="169"/>
      <c r="E205" s="113"/>
      <c r="F205" s="114"/>
      <c r="G205" s="124"/>
      <c r="H205" s="113"/>
      <c r="I205" s="114"/>
      <c r="J205" s="124"/>
      <c r="K205" s="99">
        <f>K204</f>
        <v>0</v>
      </c>
      <c r="L205" s="94">
        <f>$B$266*K205</f>
        <v>0</v>
      </c>
      <c r="M205" s="197">
        <f>L204</f>
        <v>0</v>
      </c>
      <c r="N205" s="64"/>
      <c r="O205" s="64"/>
      <c r="P205" s="64"/>
      <c r="Q205" s="64">
        <f>P204</f>
        <v>0</v>
      </c>
      <c r="R205" s="185"/>
      <c r="S205" s="185"/>
      <c r="T205" s="182"/>
      <c r="U205" s="707"/>
      <c r="V205" s="708">
        <f>U205*2</f>
        <v>0</v>
      </c>
      <c r="W205" s="709">
        <f>V205*0.75</f>
        <v>0</v>
      </c>
      <c r="X205" s="710">
        <f>K205</f>
        <v>0</v>
      </c>
      <c r="Y205" s="711">
        <f>X205*W205</f>
        <v>0</v>
      </c>
      <c r="Z205" s="182"/>
      <c r="AA205" s="182"/>
      <c r="AB205" s="182"/>
      <c r="AC205" s="182"/>
      <c r="AD205" s="182"/>
    </row>
    <row r="206" spans="1:30" x14ac:dyDescent="0.25">
      <c r="A206" s="56" t="s">
        <v>55</v>
      </c>
      <c r="B206" s="6" t="s">
        <v>282</v>
      </c>
      <c r="C206" s="6" t="s">
        <v>281</v>
      </c>
      <c r="E206" s="174">
        <v>19</v>
      </c>
      <c r="F206" s="175">
        <v>0</v>
      </c>
      <c r="G206" s="176">
        <v>0</v>
      </c>
      <c r="H206" s="174">
        <v>16</v>
      </c>
      <c r="I206" s="175">
        <v>0</v>
      </c>
      <c r="J206" s="176">
        <v>0</v>
      </c>
      <c r="K206" s="491">
        <f t="shared" ref="K206:K207" si="77">(SUM(E206+H206)+((F206+I206)*0.6667)+(G206+J206)*0.3333)/2</f>
        <v>17.5</v>
      </c>
      <c r="L206" s="47">
        <f t="shared" si="75"/>
        <v>65211.491204999998</v>
      </c>
      <c r="M206" s="192"/>
      <c r="N206" s="7">
        <v>4849.2</v>
      </c>
      <c r="O206" s="7">
        <v>5050.8</v>
      </c>
      <c r="P206" s="7">
        <f>N206+O206</f>
        <v>9900</v>
      </c>
      <c r="Q206" s="65"/>
      <c r="R206" s="265" t="s">
        <v>867</v>
      </c>
      <c r="S206" s="265" t="s">
        <v>867</v>
      </c>
      <c r="T206" s="262"/>
      <c r="U206" s="523"/>
      <c r="V206" s="529" t="s">
        <v>1</v>
      </c>
      <c r="W206" s="522" t="s">
        <v>1</v>
      </c>
      <c r="X206" s="521" t="s">
        <v>1</v>
      </c>
      <c r="Y206" s="524" t="s">
        <v>57</v>
      </c>
      <c r="Z206" s="182"/>
      <c r="AA206" s="182"/>
      <c r="AB206" s="182"/>
      <c r="AC206" s="182"/>
      <c r="AD206" s="182"/>
    </row>
    <row r="207" spans="1:30" x14ac:dyDescent="0.25">
      <c r="A207" s="56" t="s">
        <v>216</v>
      </c>
      <c r="B207" s="45" t="s">
        <v>427</v>
      </c>
      <c r="C207" s="45" t="s">
        <v>242</v>
      </c>
      <c r="D207" s="171"/>
      <c r="E207" s="115"/>
      <c r="F207" s="116"/>
      <c r="G207" s="125"/>
      <c r="H207" s="115"/>
      <c r="I207" s="116"/>
      <c r="J207" s="125"/>
      <c r="K207" s="491">
        <f t="shared" si="77"/>
        <v>0</v>
      </c>
      <c r="L207" s="47">
        <f t="shared" si="75"/>
        <v>0</v>
      </c>
      <c r="M207" s="200"/>
      <c r="N207" s="226"/>
      <c r="O207" s="226"/>
      <c r="P207" s="46">
        <f>N207+O207</f>
        <v>0</v>
      </c>
      <c r="Q207" s="65"/>
      <c r="R207" s="185"/>
      <c r="S207" s="185"/>
      <c r="T207" s="182"/>
      <c r="U207" s="513"/>
      <c r="V207" s="530"/>
      <c r="W207" s="516" t="s">
        <v>1</v>
      </c>
      <c r="X207" s="515" t="s">
        <v>1</v>
      </c>
      <c r="Y207" s="514" t="s">
        <v>1</v>
      </c>
      <c r="Z207" s="182"/>
      <c r="AA207" s="182"/>
      <c r="AB207" s="182"/>
      <c r="AC207" s="182"/>
      <c r="AD207" s="182"/>
    </row>
    <row r="208" spans="1:30" ht="13.8" thickBot="1" x14ac:dyDescent="0.3">
      <c r="A208" s="63" t="s">
        <v>306</v>
      </c>
      <c r="B208" s="63" t="s">
        <v>54</v>
      </c>
      <c r="C208" s="63"/>
      <c r="D208" s="169"/>
      <c r="E208" s="113"/>
      <c r="F208" s="114"/>
      <c r="G208" s="124"/>
      <c r="H208" s="113"/>
      <c r="I208" s="114"/>
      <c r="J208" s="124"/>
      <c r="K208" s="99">
        <f>K206+K207</f>
        <v>17.5</v>
      </c>
      <c r="L208" s="94"/>
      <c r="M208" s="199">
        <f>SUM(L206:L207)</f>
        <v>65211.491204999998</v>
      </c>
      <c r="N208" s="64"/>
      <c r="O208" s="64"/>
      <c r="P208" s="64"/>
      <c r="Q208" s="64">
        <f>SUM(P206:P207)</f>
        <v>9900</v>
      </c>
      <c r="R208" s="185"/>
      <c r="S208" s="185"/>
      <c r="T208" s="182"/>
      <c r="U208" s="891"/>
      <c r="V208" s="892">
        <f>U208*2</f>
        <v>0</v>
      </c>
      <c r="W208" s="893">
        <f>V208*0.75</f>
        <v>0</v>
      </c>
      <c r="X208" s="894">
        <f>K208</f>
        <v>17.5</v>
      </c>
      <c r="Y208" s="895">
        <f>X208*W208</f>
        <v>0</v>
      </c>
      <c r="Z208" s="182" t="s">
        <v>835</v>
      </c>
      <c r="AA208" s="182"/>
      <c r="AB208" s="182"/>
      <c r="AC208" s="182"/>
      <c r="AD208" s="182"/>
    </row>
    <row r="209" spans="1:30" x14ac:dyDescent="0.25">
      <c r="A209" s="457" t="s">
        <v>317</v>
      </c>
      <c r="B209" s="74" t="s">
        <v>428</v>
      </c>
      <c r="C209" s="74" t="s">
        <v>247</v>
      </c>
      <c r="D209" s="170"/>
      <c r="E209" s="946"/>
      <c r="F209" s="947"/>
      <c r="G209" s="948"/>
      <c r="H209" s="946"/>
      <c r="I209" s="947"/>
      <c r="J209" s="948"/>
      <c r="K209" s="491">
        <f t="shared" ref="K209:K211" si="78">(SUM(E209+H209)+((F209+I209)*0.6667)+(G209+J209)*0.3333)/2</f>
        <v>0</v>
      </c>
      <c r="L209" s="47">
        <f t="shared" ref="L209:L214" si="79">$B$266*K209</f>
        <v>0</v>
      </c>
      <c r="M209" s="192"/>
      <c r="N209" s="488"/>
      <c r="O209" s="488"/>
      <c r="P209" s="488">
        <f t="shared" ref="P209" si="80">SUM(N209+O209)</f>
        <v>0</v>
      </c>
      <c r="Q209" s="57"/>
      <c r="R209" s="769" t="s">
        <v>1</v>
      </c>
      <c r="S209" s="185"/>
      <c r="T209" s="182"/>
      <c r="U209" s="505"/>
      <c r="V209" s="506"/>
      <c r="W209" s="506"/>
      <c r="X209" s="507"/>
      <c r="Y209" s="553"/>
      <c r="Z209" s="182"/>
      <c r="AA209" s="182"/>
      <c r="AB209" s="182"/>
      <c r="AC209" s="182"/>
      <c r="AD209" s="182"/>
    </row>
    <row r="210" spans="1:30" x14ac:dyDescent="0.25">
      <c r="A210" s="56" t="s">
        <v>181</v>
      </c>
      <c r="B210" s="6" t="s">
        <v>429</v>
      </c>
      <c r="C210" s="6" t="s">
        <v>287</v>
      </c>
      <c r="E210" s="103"/>
      <c r="F210" s="104"/>
      <c r="G210" s="119"/>
      <c r="H210" s="174"/>
      <c r="I210" s="175"/>
      <c r="J210" s="176"/>
      <c r="K210" s="491">
        <f t="shared" si="78"/>
        <v>0</v>
      </c>
      <c r="L210" s="47">
        <f t="shared" si="79"/>
        <v>0</v>
      </c>
      <c r="M210" s="192"/>
      <c r="N210" s="133"/>
      <c r="O210" s="133"/>
      <c r="P210" s="7">
        <f t="shared" ref="P210:P214" si="81">SUM(N210+O210)</f>
        <v>0</v>
      </c>
      <c r="Q210" s="57"/>
      <c r="R210" s="769"/>
      <c r="S210" s="185"/>
      <c r="T210" s="182"/>
      <c r="U210" s="508"/>
      <c r="V210" s="509"/>
      <c r="W210" s="509"/>
      <c r="X210" s="510"/>
      <c r="Y210" s="512"/>
      <c r="Z210" s="182"/>
      <c r="AA210" s="182"/>
      <c r="AB210" s="182"/>
      <c r="AC210" s="182"/>
      <c r="AD210" s="182"/>
    </row>
    <row r="211" spans="1:30" x14ac:dyDescent="0.25">
      <c r="A211" s="6" t="s">
        <v>1</v>
      </c>
      <c r="B211" s="6" t="s">
        <v>430</v>
      </c>
      <c r="C211" s="6" t="s">
        <v>288</v>
      </c>
      <c r="E211" s="103"/>
      <c r="F211" s="104"/>
      <c r="G211" s="119"/>
      <c r="H211" s="103"/>
      <c r="I211" s="261"/>
      <c r="J211" s="119"/>
      <c r="K211" s="491">
        <f t="shared" si="78"/>
        <v>0</v>
      </c>
      <c r="L211" s="47">
        <f t="shared" si="79"/>
        <v>0</v>
      </c>
      <c r="M211" s="192"/>
      <c r="N211" s="133"/>
      <c r="O211" s="133"/>
      <c r="P211" s="7">
        <f t="shared" si="81"/>
        <v>0</v>
      </c>
      <c r="Q211" s="57"/>
      <c r="R211" s="769"/>
      <c r="S211" s="185"/>
      <c r="T211" s="182"/>
      <c r="U211" s="508"/>
      <c r="V211" s="509"/>
      <c r="W211" s="509"/>
      <c r="X211" s="510"/>
      <c r="Y211" s="511"/>
      <c r="Z211" s="182"/>
      <c r="AA211" s="182"/>
      <c r="AB211" s="182"/>
      <c r="AC211" s="182"/>
      <c r="AD211" s="182"/>
    </row>
    <row r="212" spans="1:30" x14ac:dyDescent="0.25">
      <c r="A212" s="56"/>
      <c r="B212" s="75" t="s">
        <v>431</v>
      </c>
      <c r="C212" s="75" t="s">
        <v>286</v>
      </c>
      <c r="D212" s="165"/>
      <c r="E212" s="107">
        <v>13</v>
      </c>
      <c r="F212" s="108">
        <v>0</v>
      </c>
      <c r="G212" s="121">
        <v>0</v>
      </c>
      <c r="H212" s="107">
        <v>12</v>
      </c>
      <c r="I212" s="108">
        <v>0</v>
      </c>
      <c r="J212" s="121">
        <v>0</v>
      </c>
      <c r="K212" s="474">
        <f>(SUM(E212+H212)+((F212+I212)*0.6667)+(G212+J212)*0.3333)/2</f>
        <v>12.5</v>
      </c>
      <c r="L212" s="47">
        <f t="shared" si="79"/>
        <v>46579.636574999997</v>
      </c>
      <c r="M212" s="192"/>
      <c r="N212" s="7">
        <v>1775.2</v>
      </c>
      <c r="O212" s="7">
        <v>1965.6</v>
      </c>
      <c r="P212" s="7">
        <f t="shared" si="81"/>
        <v>3740.8</v>
      </c>
      <c r="Q212" s="57"/>
      <c r="R212" s="769" t="s">
        <v>867</v>
      </c>
      <c r="S212" s="185" t="s">
        <v>867</v>
      </c>
      <c r="T212" s="182"/>
      <c r="U212" s="554"/>
      <c r="V212" s="555"/>
      <c r="W212" s="555"/>
      <c r="X212" s="556"/>
      <c r="Y212" s="552"/>
      <c r="Z212" s="182"/>
      <c r="AA212" s="182"/>
      <c r="AB212" s="182"/>
      <c r="AC212" s="182"/>
      <c r="AD212" s="182"/>
    </row>
    <row r="213" spans="1:30" x14ac:dyDescent="0.25">
      <c r="A213" s="56"/>
      <c r="B213" s="6" t="s">
        <v>383</v>
      </c>
      <c r="C213" s="6" t="s">
        <v>380</v>
      </c>
      <c r="D213" s="36">
        <v>7</v>
      </c>
      <c r="E213" s="103">
        <v>7</v>
      </c>
      <c r="F213" s="104">
        <v>1</v>
      </c>
      <c r="G213" s="119">
        <v>0</v>
      </c>
      <c r="H213" s="103">
        <v>8</v>
      </c>
      <c r="I213" s="261">
        <v>0</v>
      </c>
      <c r="J213" s="119">
        <v>0</v>
      </c>
      <c r="K213" s="491">
        <f t="shared" ref="K213:K214" si="82">(SUM(E213+H213)+((F213+I213)*0.6667)+(G213+J213)*0.3333)/2</f>
        <v>7.8333500000000003</v>
      </c>
      <c r="L213" s="47">
        <f t="shared" si="79"/>
        <v>29189.967692999999</v>
      </c>
      <c r="M213" s="192"/>
      <c r="N213" s="782">
        <f>1491.2+76.8</f>
        <v>1568</v>
      </c>
      <c r="O213" s="7">
        <v>1286.4000000000001</v>
      </c>
      <c r="P213" s="488">
        <f t="shared" si="81"/>
        <v>2854.4</v>
      </c>
      <c r="Q213" s="57"/>
      <c r="R213" s="769" t="s">
        <v>867</v>
      </c>
      <c r="S213" s="185" t="s">
        <v>867</v>
      </c>
      <c r="T213" s="182"/>
      <c r="U213" s="508"/>
      <c r="V213" s="509"/>
      <c r="W213" s="509"/>
      <c r="X213" s="510"/>
      <c r="Y213" s="514" t="s">
        <v>1</v>
      </c>
      <c r="Z213" s="182"/>
      <c r="AA213" s="182"/>
      <c r="AB213" s="182"/>
      <c r="AC213" s="182"/>
      <c r="AD213" s="182"/>
    </row>
    <row r="214" spans="1:30" x14ac:dyDescent="0.25">
      <c r="A214" s="56"/>
      <c r="B214" s="6" t="s">
        <v>432</v>
      </c>
      <c r="C214" s="6" t="s">
        <v>288</v>
      </c>
      <c r="E214" s="103">
        <v>2</v>
      </c>
      <c r="F214" s="261">
        <v>0</v>
      </c>
      <c r="G214" s="119">
        <v>0</v>
      </c>
      <c r="H214" s="174">
        <v>2</v>
      </c>
      <c r="I214" s="175">
        <v>0</v>
      </c>
      <c r="J214" s="176">
        <v>0</v>
      </c>
      <c r="K214" s="491">
        <f t="shared" si="82"/>
        <v>2</v>
      </c>
      <c r="L214" s="47">
        <f t="shared" si="79"/>
        <v>7452.7418520000001</v>
      </c>
      <c r="M214" s="192"/>
      <c r="N214" s="7">
        <v>659.6</v>
      </c>
      <c r="O214" s="7">
        <v>544</v>
      </c>
      <c r="P214" s="7">
        <f t="shared" si="81"/>
        <v>1203.5999999999999</v>
      </c>
      <c r="Q214" s="89"/>
      <c r="R214" s="769" t="s">
        <v>867</v>
      </c>
      <c r="S214" s="769" t="s">
        <v>867</v>
      </c>
      <c r="T214" s="495"/>
      <c r="U214" s="508"/>
      <c r="V214" s="509"/>
      <c r="W214" s="516"/>
      <c r="X214" s="510"/>
      <c r="Y214" s="514"/>
      <c r="Z214" s="495"/>
      <c r="AA214" s="182"/>
      <c r="AB214" s="182"/>
      <c r="AC214" s="182"/>
      <c r="AD214" s="182"/>
    </row>
    <row r="215" spans="1:30" ht="13.8" thickBot="1" x14ac:dyDescent="0.3">
      <c r="A215" s="60"/>
      <c r="B215" s="60" t="s">
        <v>628</v>
      </c>
      <c r="C215" s="60"/>
      <c r="D215" s="166"/>
      <c r="E215" s="109"/>
      <c r="F215" s="110"/>
      <c r="G215" s="122"/>
      <c r="H215" s="109"/>
      <c r="I215" s="110"/>
      <c r="J215" s="122"/>
      <c r="K215" s="50">
        <f>SUM(K209:K214)</f>
        <v>22.333349999999999</v>
      </c>
      <c r="L215" s="93"/>
      <c r="M215" s="196">
        <f>SUM(L209:L214)</f>
        <v>83222.346120000002</v>
      </c>
      <c r="N215" s="48"/>
      <c r="O215" s="48"/>
      <c r="P215" s="48"/>
      <c r="Q215" s="253">
        <f>SUM(P209:P214)</f>
        <v>7798.8</v>
      </c>
      <c r="R215" s="185"/>
      <c r="S215" s="185"/>
      <c r="T215" s="495"/>
      <c r="U215" s="877">
        <v>3003.05</v>
      </c>
      <c r="V215" s="878">
        <f>U215*2</f>
        <v>6006.1</v>
      </c>
      <c r="W215" s="879">
        <f>V215*0.75</f>
        <v>4504.58</v>
      </c>
      <c r="X215" s="880">
        <f>K215</f>
        <v>22.333349999999999</v>
      </c>
      <c r="Y215" s="881">
        <f>X215*W215</f>
        <v>100602.36</v>
      </c>
      <c r="Z215" s="495"/>
      <c r="AA215" s="182"/>
      <c r="AB215" s="182"/>
      <c r="AC215" s="182"/>
      <c r="AD215" s="182"/>
    </row>
    <row r="216" spans="1:30" ht="13.8" x14ac:dyDescent="0.3">
      <c r="A216" s="1014" t="s">
        <v>318</v>
      </c>
      <c r="B216" s="6" t="s">
        <v>603</v>
      </c>
      <c r="C216" s="6" t="s">
        <v>374</v>
      </c>
      <c r="E216" s="103"/>
      <c r="F216" s="261"/>
      <c r="G216" s="119"/>
      <c r="H216" s="103"/>
      <c r="I216" s="261"/>
      <c r="J216" s="119"/>
      <c r="K216" s="491">
        <f t="shared" ref="K216:K219" si="83">(SUM(E216+H216)+((F216+I216)*0.6667)+(G216+J216)*0.3333)/2</f>
        <v>0</v>
      </c>
      <c r="L216" s="47">
        <f t="shared" ref="L216:L221" si="84">$B$266*K216</f>
        <v>0</v>
      </c>
      <c r="M216" s="192"/>
      <c r="N216" s="7"/>
      <c r="O216" s="7"/>
      <c r="P216" s="7">
        <f t="shared" ref="P216:P221" si="85">SUM(N216+O216)</f>
        <v>0</v>
      </c>
      <c r="Q216" s="57"/>
      <c r="R216" s="769"/>
      <c r="S216" s="185"/>
      <c r="T216" s="495"/>
      <c r="U216" s="505"/>
      <c r="V216" s="506"/>
      <c r="W216" s="522"/>
      <c r="X216" s="507"/>
      <c r="Y216" s="551"/>
      <c r="Z216" s="495"/>
      <c r="AA216" s="182"/>
      <c r="AB216" s="182"/>
      <c r="AC216" s="182"/>
      <c r="AD216" s="182"/>
    </row>
    <row r="217" spans="1:30" x14ac:dyDescent="0.25">
      <c r="A217" s="56"/>
      <c r="B217" s="6" t="s">
        <v>379</v>
      </c>
      <c r="C217" s="6" t="s">
        <v>284</v>
      </c>
      <c r="E217" s="103"/>
      <c r="F217" s="128"/>
      <c r="G217" s="119"/>
      <c r="H217" s="103"/>
      <c r="I217" s="261"/>
      <c r="J217" s="119"/>
      <c r="K217" s="491">
        <f t="shared" si="83"/>
        <v>0</v>
      </c>
      <c r="L217" s="47">
        <f t="shared" si="84"/>
        <v>0</v>
      </c>
      <c r="M217" s="192"/>
      <c r="N217" s="7"/>
      <c r="O217" s="7"/>
      <c r="P217" s="7">
        <f t="shared" si="85"/>
        <v>0</v>
      </c>
      <c r="Q217" s="57"/>
      <c r="R217" s="767"/>
      <c r="S217" s="185"/>
      <c r="T217" s="493"/>
      <c r="U217" s="508"/>
      <c r="V217" s="509"/>
      <c r="W217" s="537"/>
      <c r="X217" s="510"/>
      <c r="Y217" s="538"/>
      <c r="Z217" s="495"/>
      <c r="AA217" s="182"/>
      <c r="AB217" s="182"/>
      <c r="AC217" s="182"/>
      <c r="AD217" s="182"/>
    </row>
    <row r="218" spans="1:30" x14ac:dyDescent="0.25">
      <c r="A218" s="56" t="s">
        <v>1</v>
      </c>
      <c r="B218" s="6" t="s">
        <v>378</v>
      </c>
      <c r="C218" s="6" t="s">
        <v>285</v>
      </c>
      <c r="E218" s="103"/>
      <c r="F218" s="261"/>
      <c r="G218" s="119"/>
      <c r="H218" s="103"/>
      <c r="I218" s="261"/>
      <c r="J218" s="119"/>
      <c r="K218" s="491">
        <f t="shared" si="83"/>
        <v>0</v>
      </c>
      <c r="L218" s="47">
        <f t="shared" si="84"/>
        <v>0</v>
      </c>
      <c r="M218" s="192"/>
      <c r="N218" s="7"/>
      <c r="O218" s="7"/>
      <c r="P218" s="7">
        <f t="shared" si="85"/>
        <v>0</v>
      </c>
      <c r="Q218" s="57"/>
      <c r="R218" s="769"/>
      <c r="S218" s="185"/>
      <c r="T218" s="495"/>
      <c r="U218" s="508"/>
      <c r="V218" s="509"/>
      <c r="W218" s="509"/>
      <c r="X218" s="510"/>
      <c r="Y218" s="511"/>
      <c r="Z218" s="495"/>
      <c r="AA218" s="182"/>
      <c r="AB218" s="182"/>
      <c r="AC218" s="182"/>
      <c r="AD218" s="182"/>
    </row>
    <row r="219" spans="1:30" x14ac:dyDescent="0.25">
      <c r="A219" s="56"/>
      <c r="B219" s="6" t="s">
        <v>434</v>
      </c>
      <c r="C219" s="6" t="s">
        <v>373</v>
      </c>
      <c r="D219" s="36">
        <v>3</v>
      </c>
      <c r="E219" s="103">
        <v>3</v>
      </c>
      <c r="F219" s="261">
        <v>0</v>
      </c>
      <c r="G219" s="119">
        <v>0</v>
      </c>
      <c r="H219" s="103">
        <v>3</v>
      </c>
      <c r="I219" s="261">
        <v>0</v>
      </c>
      <c r="J219" s="119">
        <v>0</v>
      </c>
      <c r="K219" s="491">
        <f t="shared" si="83"/>
        <v>3</v>
      </c>
      <c r="L219" s="47">
        <f t="shared" si="84"/>
        <v>11179.112778000001</v>
      </c>
      <c r="M219" s="192"/>
      <c r="N219" s="7">
        <v>399</v>
      </c>
      <c r="O219" s="782">
        <v>625.79999999999995</v>
      </c>
      <c r="P219" s="7">
        <f t="shared" si="85"/>
        <v>1024.8</v>
      </c>
      <c r="Q219" s="57"/>
      <c r="R219" s="185" t="s">
        <v>867</v>
      </c>
      <c r="S219" s="769" t="s">
        <v>867</v>
      </c>
      <c r="T219" s="265" t="s">
        <v>1</v>
      </c>
      <c r="U219" s="508"/>
      <c r="V219" s="509"/>
      <c r="W219" s="509"/>
      <c r="X219" s="510"/>
      <c r="Y219" s="512"/>
      <c r="Z219" s="495"/>
      <c r="AA219" s="182"/>
      <c r="AB219" s="182"/>
      <c r="AC219" s="182"/>
      <c r="AD219" s="182"/>
    </row>
    <row r="220" spans="1:30" x14ac:dyDescent="0.25">
      <c r="A220" s="56"/>
      <c r="B220" s="75" t="s">
        <v>435</v>
      </c>
      <c r="C220" s="75" t="s">
        <v>283</v>
      </c>
      <c r="D220" s="165"/>
      <c r="E220" s="107"/>
      <c r="F220" s="108"/>
      <c r="G220" s="121"/>
      <c r="H220" s="107"/>
      <c r="I220" s="108"/>
      <c r="J220" s="121"/>
      <c r="K220" s="474">
        <f>(SUM(E220+H220)+((F220+I220)*0.6667)+(G220+J220)*0.3333)/2</f>
        <v>0</v>
      </c>
      <c r="L220" s="47">
        <f t="shared" si="84"/>
        <v>0</v>
      </c>
      <c r="M220" s="192"/>
      <c r="N220" s="7"/>
      <c r="O220" s="7"/>
      <c r="P220" s="7">
        <f t="shared" si="85"/>
        <v>0</v>
      </c>
      <c r="Q220" s="57"/>
      <c r="R220" s="767"/>
      <c r="S220" s="767"/>
      <c r="T220" s="495"/>
      <c r="U220" s="508"/>
      <c r="V220" s="509"/>
      <c r="W220" s="509"/>
      <c r="X220" s="510"/>
      <c r="Y220" s="552"/>
      <c r="Z220" s="495"/>
      <c r="AA220" s="182"/>
      <c r="AB220" s="182"/>
      <c r="AC220" s="182"/>
      <c r="AD220" s="182"/>
    </row>
    <row r="221" spans="1:30" x14ac:dyDescent="0.25">
      <c r="A221" s="56"/>
      <c r="B221" s="6" t="s">
        <v>436</v>
      </c>
      <c r="C221" s="6" t="s">
        <v>254</v>
      </c>
      <c r="D221" s="36">
        <v>9</v>
      </c>
      <c r="E221" s="103">
        <v>9</v>
      </c>
      <c r="F221" s="261">
        <v>0</v>
      </c>
      <c r="G221" s="119">
        <v>0</v>
      </c>
      <c r="H221" s="103">
        <v>8</v>
      </c>
      <c r="I221" s="261">
        <v>0</v>
      </c>
      <c r="J221" s="119">
        <v>0</v>
      </c>
      <c r="K221" s="491">
        <f>(SUM(E221+H221)+((F221+I221)*0.6667)+(G221+J221)*0.3333)/2</f>
        <v>8.5</v>
      </c>
      <c r="L221" s="47">
        <f t="shared" si="84"/>
        <v>31674.152870999998</v>
      </c>
      <c r="M221" s="192"/>
      <c r="N221" s="7">
        <v>967.5</v>
      </c>
      <c r="O221" s="7">
        <v>1485</v>
      </c>
      <c r="P221" s="7">
        <f t="shared" si="85"/>
        <v>2452.5</v>
      </c>
      <c r="Q221" s="57"/>
      <c r="R221" s="769" t="s">
        <v>867</v>
      </c>
      <c r="S221" s="185" t="s">
        <v>867</v>
      </c>
      <c r="T221" s="495"/>
      <c r="U221" s="508"/>
      <c r="V221" s="509"/>
      <c r="W221" s="509"/>
      <c r="X221" s="510"/>
      <c r="Y221" s="511"/>
      <c r="Z221" s="495"/>
      <c r="AA221" s="182"/>
      <c r="AB221" s="182"/>
      <c r="AC221" s="182"/>
      <c r="AD221" s="182"/>
    </row>
    <row r="222" spans="1:30" ht="13.8" thickBot="1" x14ac:dyDescent="0.3">
      <c r="A222" s="60" t="s">
        <v>306</v>
      </c>
      <c r="B222" s="60" t="s">
        <v>628</v>
      </c>
      <c r="C222" s="60"/>
      <c r="D222" s="166"/>
      <c r="E222" s="109"/>
      <c r="F222" s="110"/>
      <c r="G222" s="122"/>
      <c r="H222" s="109"/>
      <c r="I222" s="110"/>
      <c r="J222" s="122"/>
      <c r="K222" s="50">
        <f>SUM(K216:K221)</f>
        <v>11.5</v>
      </c>
      <c r="L222" s="93"/>
      <c r="M222" s="196">
        <f>SUM(L216:L221)</f>
        <v>42853.265649000001</v>
      </c>
      <c r="N222" s="48"/>
      <c r="O222" s="48"/>
      <c r="P222" s="48"/>
      <c r="Q222" s="48">
        <f>SUM(P216:P221)</f>
        <v>3477.3</v>
      </c>
      <c r="R222" s="185"/>
      <c r="S222" s="185"/>
      <c r="T222" s="495"/>
      <c r="U222" s="877">
        <v>3149.47</v>
      </c>
      <c r="V222" s="878">
        <f>U222*2</f>
        <v>6298.94</v>
      </c>
      <c r="W222" s="879">
        <f>V222*0.75</f>
        <v>4724.21</v>
      </c>
      <c r="X222" s="880">
        <f>K222</f>
        <v>11.5</v>
      </c>
      <c r="Y222" s="881">
        <f>X222*W222</f>
        <v>54328.42</v>
      </c>
      <c r="Z222" s="495"/>
      <c r="AA222" s="182"/>
      <c r="AB222" s="182"/>
      <c r="AC222" s="182"/>
      <c r="AD222" s="182"/>
    </row>
    <row r="223" spans="1:30" x14ac:dyDescent="0.25">
      <c r="A223" s="457" t="s">
        <v>319</v>
      </c>
      <c r="B223" s="6" t="s">
        <v>437</v>
      </c>
      <c r="C223" s="6" t="s">
        <v>260</v>
      </c>
      <c r="E223" s="103">
        <v>16</v>
      </c>
      <c r="F223" s="261">
        <v>0</v>
      </c>
      <c r="G223" s="119">
        <v>0</v>
      </c>
      <c r="H223" s="103">
        <v>16</v>
      </c>
      <c r="I223" s="261">
        <v>0</v>
      </c>
      <c r="J223" s="119">
        <v>0</v>
      </c>
      <c r="K223" s="491">
        <f t="shared" ref="K223:K225" si="86">(SUM(E223+H223)+((F223+I223)*0.6667)+(G223+J223)*0.3333)/2</f>
        <v>16</v>
      </c>
      <c r="L223" s="47">
        <f>$B$266*K223</f>
        <v>59621.934816000001</v>
      </c>
      <c r="M223" s="192"/>
      <c r="N223" s="7">
        <v>2961.4</v>
      </c>
      <c r="O223" s="7">
        <v>5375.4</v>
      </c>
      <c r="P223" s="7">
        <f>SUM(N223+O223)</f>
        <v>8336.7999999999993</v>
      </c>
      <c r="Q223" s="57"/>
      <c r="R223" s="767" t="s">
        <v>867</v>
      </c>
      <c r="S223" s="769" t="s">
        <v>867</v>
      </c>
      <c r="T223" s="262"/>
      <c r="U223" s="505"/>
      <c r="V223" s="506"/>
      <c r="W223" s="506"/>
      <c r="X223" s="507"/>
      <c r="Y223" s="553"/>
      <c r="Z223" s="182"/>
      <c r="AA223" s="182"/>
      <c r="AB223" s="182"/>
      <c r="AC223" s="182"/>
      <c r="AD223" s="182"/>
    </row>
    <row r="224" spans="1:30" x14ac:dyDescent="0.25">
      <c r="A224" s="56"/>
      <c r="B224" s="6" t="s">
        <v>438</v>
      </c>
      <c r="C224" s="6" t="s">
        <v>298</v>
      </c>
      <c r="E224" s="103">
        <v>10</v>
      </c>
      <c r="F224" s="261">
        <v>0</v>
      </c>
      <c r="G224" s="119">
        <v>0</v>
      </c>
      <c r="H224" s="103">
        <v>10</v>
      </c>
      <c r="I224" s="261">
        <v>0</v>
      </c>
      <c r="J224" s="119">
        <v>0</v>
      </c>
      <c r="K224" s="491">
        <f t="shared" si="86"/>
        <v>10</v>
      </c>
      <c r="L224" s="47">
        <f>$B$266*K224</f>
        <v>37263.709260000003</v>
      </c>
      <c r="M224" s="192"/>
      <c r="N224" s="7">
        <v>936</v>
      </c>
      <c r="O224" s="7">
        <v>2062.8000000000002</v>
      </c>
      <c r="P224" s="7">
        <f>SUM(N224+O224)</f>
        <v>2998.8</v>
      </c>
      <c r="Q224" s="57"/>
      <c r="R224" s="769" t="s">
        <v>867</v>
      </c>
      <c r="S224" s="769" t="s">
        <v>867</v>
      </c>
      <c r="T224" s="182"/>
      <c r="U224" s="554"/>
      <c r="V224" s="555"/>
      <c r="W224" s="555"/>
      <c r="X224" s="556"/>
      <c r="Y224" s="557"/>
      <c r="Z224" s="182"/>
      <c r="AA224" s="182"/>
      <c r="AB224" s="182"/>
      <c r="AC224" s="182"/>
      <c r="AD224" s="182"/>
    </row>
    <row r="225" spans="1:30" x14ac:dyDescent="0.25">
      <c r="A225" s="56"/>
      <c r="B225" s="6" t="s">
        <v>439</v>
      </c>
      <c r="C225" s="6" t="s">
        <v>297</v>
      </c>
      <c r="E225" s="103">
        <v>31</v>
      </c>
      <c r="F225" s="261">
        <v>0</v>
      </c>
      <c r="G225" s="119">
        <v>0</v>
      </c>
      <c r="H225" s="103">
        <v>29</v>
      </c>
      <c r="I225" s="261">
        <v>0</v>
      </c>
      <c r="J225" s="119">
        <v>1</v>
      </c>
      <c r="K225" s="491">
        <f t="shared" si="86"/>
        <v>30.166650000000001</v>
      </c>
      <c r="L225" s="47">
        <f>$B$266*K225</f>
        <v>112412.12749499999</v>
      </c>
      <c r="M225" s="192"/>
      <c r="N225" s="7">
        <v>4807.2</v>
      </c>
      <c r="O225" s="7">
        <v>10176</v>
      </c>
      <c r="P225" s="7">
        <f>SUM(N225+O225)</f>
        <v>14983.2</v>
      </c>
      <c r="Q225" s="57"/>
      <c r="R225" s="769" t="s">
        <v>867</v>
      </c>
      <c r="S225" s="185" t="s">
        <v>867</v>
      </c>
      <c r="T225" s="182"/>
      <c r="U225" s="508"/>
      <c r="V225" s="509"/>
      <c r="W225" s="509"/>
      <c r="X225" s="510"/>
      <c r="Y225" s="511"/>
      <c r="Z225" s="182"/>
      <c r="AA225" s="182"/>
      <c r="AB225" s="182"/>
      <c r="AC225" s="182"/>
      <c r="AD225" s="182"/>
    </row>
    <row r="226" spans="1:30" ht="13.8" thickBot="1" x14ac:dyDescent="0.3">
      <c r="A226" s="60" t="s">
        <v>1</v>
      </c>
      <c r="B226" s="60" t="s">
        <v>628</v>
      </c>
      <c r="C226" s="60"/>
      <c r="D226" s="166"/>
      <c r="E226" s="109"/>
      <c r="F226" s="110"/>
      <c r="G226" s="122"/>
      <c r="H226" s="109"/>
      <c r="I226" s="110"/>
      <c r="J226" s="122"/>
      <c r="K226" s="50">
        <f>SUM(K223:K225)</f>
        <v>56.166649999999997</v>
      </c>
      <c r="L226" s="93"/>
      <c r="M226" s="193">
        <f>SUM(L223:L225)</f>
        <v>209297.77157099999</v>
      </c>
      <c r="N226" s="48"/>
      <c r="O226" s="48"/>
      <c r="P226" s="48"/>
      <c r="Q226" s="48">
        <f>SUM(P223:P225)</f>
        <v>26318.799999999999</v>
      </c>
      <c r="R226" s="185"/>
      <c r="S226" s="185"/>
      <c r="T226" s="182"/>
      <c r="U226" s="877">
        <v>3803.34</v>
      </c>
      <c r="V226" s="878">
        <f>U226*2</f>
        <v>7606.68</v>
      </c>
      <c r="W226" s="879">
        <f>V226*0.75</f>
        <v>5705.01</v>
      </c>
      <c r="X226" s="880">
        <f>K226</f>
        <v>56.166649999999997</v>
      </c>
      <c r="Y226" s="881">
        <f>X226*W226</f>
        <v>320431.3</v>
      </c>
      <c r="Z226" s="182"/>
      <c r="AA226" s="182"/>
      <c r="AB226" s="182"/>
      <c r="AC226" s="182"/>
      <c r="AD226" s="182"/>
    </row>
    <row r="227" spans="1:30" s="182" customFormat="1" x14ac:dyDescent="0.25">
      <c r="A227" s="66"/>
      <c r="B227" s="66"/>
      <c r="C227" s="66"/>
      <c r="D227" s="172"/>
      <c r="E227" s="117"/>
      <c r="F227" s="118"/>
      <c r="G227" s="126"/>
      <c r="H227" s="117"/>
      <c r="I227" s="118"/>
      <c r="J227" s="126"/>
      <c r="K227" s="100"/>
      <c r="L227" s="95"/>
      <c r="M227" s="201"/>
      <c r="N227" s="67"/>
      <c r="O227" s="67"/>
      <c r="P227" s="67"/>
      <c r="Q227" s="208" t="s">
        <v>1</v>
      </c>
      <c r="R227" s="185"/>
      <c r="S227" s="185"/>
      <c r="U227" s="508"/>
      <c r="V227" s="531"/>
      <c r="W227" s="509"/>
      <c r="X227" s="510"/>
      <c r="Y227" s="511"/>
    </row>
    <row r="228" spans="1:30" s="209" customFormat="1" ht="13.8" thickBot="1" x14ac:dyDescent="0.3">
      <c r="A228" s="203"/>
      <c r="B228" s="203" t="s">
        <v>509</v>
      </c>
      <c r="C228" s="203"/>
      <c r="D228" s="172"/>
      <c r="E228" s="203"/>
      <c r="F228" s="203"/>
      <c r="G228" s="203"/>
      <c r="H228" s="203"/>
      <c r="I228" s="203"/>
      <c r="J228" s="203"/>
      <c r="K228" s="204">
        <f>K226+K222+K215+K208+K203+K194+K189+K186+K176+K170+K165+K160+K158+K147+K140+K132+K116+K109+K96+K90+K79+K74+K71+K59+K39+K27+K21+K11+K4+K205+K83</f>
        <v>2208.9998000000001</v>
      </c>
      <c r="L228" s="205">
        <f>K228*B266</f>
        <v>8231552.6299999999</v>
      </c>
      <c r="M228" s="206">
        <f>SUM(M4:M226)</f>
        <v>8234016.1302570002</v>
      </c>
      <c r="N228" s="207"/>
      <c r="O228" s="207"/>
      <c r="P228" s="207">
        <f>SUM(P3:P225)</f>
        <v>584690.15</v>
      </c>
      <c r="Q228" s="207">
        <f>SUM(Q3:Q227)</f>
        <v>584690.15</v>
      </c>
      <c r="R228" s="265"/>
      <c r="S228" s="265"/>
      <c r="T228" s="273"/>
      <c r="U228" s="517"/>
      <c r="V228" s="533"/>
      <c r="W228" s="518"/>
      <c r="X228" s="519"/>
      <c r="Y228" s="520">
        <v>8108202.29</v>
      </c>
      <c r="Z228" s="273"/>
      <c r="AA228" s="273"/>
      <c r="AB228" s="273"/>
      <c r="AC228" s="273"/>
      <c r="AD228" s="273"/>
    </row>
    <row r="229" spans="1:30" x14ac:dyDescent="0.25">
      <c r="L229" s="88" t="s">
        <v>1</v>
      </c>
      <c r="M229" s="192"/>
      <c r="Q229" s="88" t="s">
        <v>1</v>
      </c>
      <c r="R229" s="185"/>
      <c r="S229" s="185"/>
      <c r="T229" s="182"/>
      <c r="U229" s="494"/>
      <c r="V229" s="494"/>
      <c r="W229" s="534"/>
      <c r="X229" s="495"/>
      <c r="Y229" s="497"/>
      <c r="Z229" s="182"/>
      <c r="AA229" s="182"/>
      <c r="AB229" s="182"/>
      <c r="AC229" s="182"/>
      <c r="AD229" s="182"/>
    </row>
    <row r="230" spans="1:30" s="247" customFormat="1" ht="13.8" thickBot="1" x14ac:dyDescent="0.3">
      <c r="A230" s="251" t="s">
        <v>510</v>
      </c>
      <c r="D230" s="252"/>
      <c r="K230" s="259"/>
      <c r="L230" s="274"/>
      <c r="M230" s="268"/>
      <c r="N230" s="248"/>
      <c r="O230" s="248"/>
      <c r="P230" s="248"/>
      <c r="Q230" s="372"/>
      <c r="R230" s="185"/>
      <c r="S230" s="185"/>
      <c r="T230" s="182"/>
      <c r="U230" s="494"/>
      <c r="V230" s="494"/>
      <c r="W230" s="548"/>
      <c r="X230" s="549"/>
      <c r="Y230" s="550"/>
      <c r="Z230" s="182"/>
      <c r="AA230" s="182"/>
      <c r="AB230" s="182"/>
    </row>
    <row r="231" spans="1:30" x14ac:dyDescent="0.25">
      <c r="A231" s="343" t="s">
        <v>153</v>
      </c>
      <c r="B231" s="305" t="s">
        <v>433</v>
      </c>
      <c r="C231" s="344" t="s">
        <v>374</v>
      </c>
      <c r="D231" s="345"/>
      <c r="E231" s="463"/>
      <c r="F231" s="344"/>
      <c r="G231" s="346"/>
      <c r="H231" s="463"/>
      <c r="I231" s="344"/>
      <c r="J231" s="346"/>
      <c r="K231" s="463">
        <f>'ALT-ED'!L5</f>
        <v>0</v>
      </c>
      <c r="L231" s="312">
        <f>$B$266*K231</f>
        <v>0</v>
      </c>
      <c r="M231" s="312"/>
      <c r="N231" s="312"/>
      <c r="O231" s="312"/>
      <c r="P231" s="312">
        <f>'ALT-ED'!S5</f>
        <v>0</v>
      </c>
      <c r="Q231" s="281"/>
      <c r="R231" s="185"/>
      <c r="S231" s="185"/>
      <c r="T231" s="182"/>
      <c r="U231" s="505"/>
      <c r="V231" s="506"/>
      <c r="W231" s="522"/>
      <c r="X231" s="507"/>
      <c r="Y231" s="535"/>
      <c r="Z231" s="182"/>
      <c r="AA231" s="182"/>
      <c r="AB231" s="182"/>
    </row>
    <row r="232" spans="1:30" x14ac:dyDescent="0.25">
      <c r="A232" s="347"/>
      <c r="B232" s="284" t="s">
        <v>379</v>
      </c>
      <c r="C232" s="284" t="s">
        <v>284</v>
      </c>
      <c r="D232" s="348"/>
      <c r="E232" s="313"/>
      <c r="F232" s="317"/>
      <c r="G232" s="316"/>
      <c r="H232" s="313"/>
      <c r="I232" s="317"/>
      <c r="J232" s="316"/>
      <c r="K232" s="313">
        <f>'ALT-ED'!L26</f>
        <v>0</v>
      </c>
      <c r="L232" s="321">
        <f>$B$266*K232</f>
        <v>0</v>
      </c>
      <c r="M232" s="301"/>
      <c r="N232" s="321"/>
      <c r="O232" s="321"/>
      <c r="P232" s="321">
        <f>'ALT-ED'!S26</f>
        <v>0</v>
      </c>
      <c r="Q232" s="281"/>
      <c r="R232" s="185"/>
      <c r="S232" s="185"/>
      <c r="T232" s="182"/>
      <c r="U232" s="508"/>
      <c r="V232" s="509"/>
      <c r="W232" s="516"/>
      <c r="X232" s="510"/>
      <c r="Y232" s="536"/>
      <c r="Z232" s="182"/>
      <c r="AA232" s="182"/>
      <c r="AB232" s="182"/>
    </row>
    <row r="233" spans="1:30" x14ac:dyDescent="0.25">
      <c r="A233" s="347"/>
      <c r="B233" s="284" t="s">
        <v>378</v>
      </c>
      <c r="C233" s="284" t="s">
        <v>285</v>
      </c>
      <c r="D233" s="348"/>
      <c r="E233" s="313"/>
      <c r="F233" s="317"/>
      <c r="G233" s="316"/>
      <c r="H233" s="313"/>
      <c r="I233" s="317"/>
      <c r="J233" s="316"/>
      <c r="K233" s="313">
        <f>'ALT-ED'!L27</f>
        <v>0</v>
      </c>
      <c r="L233" s="321">
        <f>$B$266*K233</f>
        <v>0</v>
      </c>
      <c r="M233" s="301"/>
      <c r="N233" s="321"/>
      <c r="O233" s="321"/>
      <c r="P233" s="321">
        <f>'ALT-ED'!S27</f>
        <v>0</v>
      </c>
      <c r="Q233" s="281"/>
      <c r="R233" s="185"/>
      <c r="S233" s="185"/>
      <c r="T233" s="182"/>
      <c r="U233" s="508"/>
      <c r="V233" s="509"/>
      <c r="W233" s="537"/>
      <c r="X233" s="510"/>
      <c r="Y233" s="538"/>
      <c r="Z233" s="182"/>
      <c r="AA233" s="182"/>
      <c r="AB233" s="182"/>
    </row>
    <row r="234" spans="1:30" x14ac:dyDescent="0.25">
      <c r="A234" s="347"/>
      <c r="B234" s="284" t="s">
        <v>377</v>
      </c>
      <c r="C234" s="284" t="s">
        <v>373</v>
      </c>
      <c r="D234" s="348"/>
      <c r="E234" s="313"/>
      <c r="F234" s="317"/>
      <c r="G234" s="316"/>
      <c r="H234" s="313"/>
      <c r="I234" s="317"/>
      <c r="J234" s="316"/>
      <c r="K234" s="313">
        <f>'ALT-ED'!L28</f>
        <v>0</v>
      </c>
      <c r="L234" s="321">
        <f>$B$266*K234</f>
        <v>0</v>
      </c>
      <c r="M234" s="301"/>
      <c r="N234" s="321"/>
      <c r="O234" s="321"/>
      <c r="P234" s="321">
        <f>'ALT-ED'!S28</f>
        <v>0</v>
      </c>
      <c r="Q234" s="281"/>
      <c r="R234" s="185"/>
      <c r="S234" s="185"/>
      <c r="T234" s="182"/>
      <c r="U234" s="508"/>
      <c r="V234" s="509"/>
      <c r="W234" s="509"/>
      <c r="X234" s="510"/>
      <c r="Y234" s="511"/>
      <c r="Z234" s="182"/>
      <c r="AA234" s="182"/>
      <c r="AB234" s="182"/>
    </row>
    <row r="235" spans="1:30" x14ac:dyDescent="0.25">
      <c r="A235" s="347"/>
      <c r="B235" s="284" t="s">
        <v>375</v>
      </c>
      <c r="C235" s="284" t="s">
        <v>217</v>
      </c>
      <c r="D235" s="348"/>
      <c r="E235" s="313"/>
      <c r="F235" s="317"/>
      <c r="G235" s="316"/>
      <c r="H235" s="313"/>
      <c r="I235" s="317"/>
      <c r="J235" s="316"/>
      <c r="K235" s="313">
        <f>'ALT-ED'!L30</f>
        <v>0</v>
      </c>
      <c r="L235" s="321">
        <f>$B$266*K235</f>
        <v>0</v>
      </c>
      <c r="M235" s="301"/>
      <c r="N235" s="321"/>
      <c r="O235" s="321"/>
      <c r="P235" s="321">
        <f>'ALT-ED'!S30</f>
        <v>0</v>
      </c>
      <c r="Q235" s="281"/>
      <c r="R235" s="185"/>
      <c r="S235" s="185"/>
      <c r="T235" s="182"/>
      <c r="U235" s="508"/>
      <c r="V235" s="509"/>
      <c r="W235" s="509"/>
      <c r="X235" s="510"/>
      <c r="Y235" s="512"/>
      <c r="Z235" s="182"/>
      <c r="AA235" s="182"/>
      <c r="AB235" s="182"/>
    </row>
    <row r="236" spans="1:30" ht="13.8" thickBot="1" x14ac:dyDescent="0.3">
      <c r="A236" s="260" t="s">
        <v>1</v>
      </c>
      <c r="B236" s="260" t="s">
        <v>628</v>
      </c>
      <c r="C236" s="260"/>
      <c r="D236" s="342"/>
      <c r="E236" s="109"/>
      <c r="F236" s="110"/>
      <c r="G236" s="122"/>
      <c r="H236" s="109"/>
      <c r="I236" s="110"/>
      <c r="J236" s="122"/>
      <c r="K236" s="50">
        <f>SUM(K231:K235)</f>
        <v>0</v>
      </c>
      <c r="L236" s="48"/>
      <c r="M236" s="48">
        <f>SUM(L231:L235)</f>
        <v>0</v>
      </c>
      <c r="N236" s="48"/>
      <c r="O236" s="48"/>
      <c r="P236" s="48">
        <f>SUM(P231:P235)</f>
        <v>0</v>
      </c>
      <c r="Q236" s="48">
        <f>SUM(P231:P235)</f>
        <v>0</v>
      </c>
      <c r="R236" s="185"/>
      <c r="S236" s="185"/>
      <c r="T236" s="182"/>
      <c r="U236" s="877"/>
      <c r="V236" s="878">
        <f>U236*2</f>
        <v>0</v>
      </c>
      <c r="W236" s="879">
        <f>V236*0.75</f>
        <v>0</v>
      </c>
      <c r="X236" s="880">
        <f>K236</f>
        <v>0</v>
      </c>
      <c r="Y236" s="881">
        <f>X236*W236</f>
        <v>0</v>
      </c>
      <c r="Z236" s="182"/>
      <c r="AA236" s="182"/>
      <c r="AB236" s="182"/>
    </row>
    <row r="237" spans="1:30" x14ac:dyDescent="0.25">
      <c r="D237" s="341"/>
      <c r="K237" s="101"/>
      <c r="L237" s="7"/>
      <c r="N237" s="7"/>
      <c r="O237" s="7"/>
      <c r="P237" s="7"/>
      <c r="R237" s="185"/>
      <c r="S237" s="185"/>
      <c r="T237" s="182"/>
      <c r="U237" s="494"/>
      <c r="V237" s="494"/>
      <c r="W237" s="494"/>
      <c r="X237" s="487"/>
      <c r="Y237" s="487"/>
      <c r="Z237" s="182"/>
      <c r="AA237" s="182"/>
      <c r="AB237" s="182"/>
    </row>
    <row r="238" spans="1:30" s="209" customFormat="1" x14ac:dyDescent="0.25">
      <c r="A238" s="177" t="s">
        <v>458</v>
      </c>
      <c r="B238" s="177"/>
      <c r="C238" s="177"/>
      <c r="D238" s="178"/>
      <c r="E238" s="177"/>
      <c r="F238" s="177"/>
      <c r="G238" s="177"/>
      <c r="H238" s="177"/>
      <c r="I238" s="177"/>
      <c r="J238" s="177"/>
      <c r="K238" s="179">
        <f>K228+K236</f>
        <v>2208.9998000000001</v>
      </c>
      <c r="L238" s="219">
        <f>$B$266*K238</f>
        <v>8231552.6299999999</v>
      </c>
      <c r="M238" s="219">
        <f>M228+M236</f>
        <v>8234016.1299999999</v>
      </c>
      <c r="N238" s="219"/>
      <c r="O238" s="219"/>
      <c r="P238" s="219">
        <f>P228+P236+P252</f>
        <v>584690.15</v>
      </c>
      <c r="Q238" s="177"/>
      <c r="R238" s="265"/>
      <c r="S238" s="265"/>
      <c r="T238" s="273"/>
      <c r="U238" s="500"/>
      <c r="V238" s="500"/>
      <c r="W238" s="500"/>
      <c r="X238" s="496"/>
      <c r="Y238" s="496"/>
      <c r="Z238" s="273"/>
      <c r="AA238" s="273"/>
      <c r="AB238" s="273"/>
    </row>
    <row r="239" spans="1:30" x14ac:dyDescent="0.25">
      <c r="K239" s="101"/>
      <c r="L239" s="210" t="s">
        <v>1</v>
      </c>
      <c r="M239" s="198" t="s">
        <v>1</v>
      </c>
      <c r="N239" s="80"/>
      <c r="O239" s="80"/>
      <c r="P239" s="80"/>
      <c r="R239" s="185"/>
      <c r="S239" s="185"/>
      <c r="T239" s="182"/>
      <c r="U239" s="494"/>
      <c r="V239" s="494"/>
      <c r="W239" s="494"/>
      <c r="X239" s="487"/>
      <c r="Y239" s="487"/>
      <c r="Z239" s="182"/>
      <c r="AA239" s="182"/>
      <c r="AB239" s="182"/>
    </row>
    <row r="240" spans="1:30" x14ac:dyDescent="0.25">
      <c r="K240" s="101"/>
      <c r="L240" s="210" t="s">
        <v>1</v>
      </c>
      <c r="M240" s="191" t="s">
        <v>1</v>
      </c>
      <c r="N240" s="80"/>
      <c r="O240" s="80"/>
      <c r="P240" s="80"/>
      <c r="R240" s="185"/>
      <c r="S240" s="185"/>
      <c r="T240" s="182"/>
      <c r="U240" s="494"/>
      <c r="V240" s="494"/>
      <c r="W240" s="494"/>
      <c r="X240" s="487"/>
      <c r="Y240" s="487"/>
      <c r="Z240" s="182"/>
      <c r="AA240" s="182"/>
      <c r="AB240" s="182"/>
    </row>
    <row r="241" spans="1:28" ht="13.8" thickBot="1" x14ac:dyDescent="0.3">
      <c r="K241" s="101"/>
      <c r="M241" s="191" t="s">
        <v>1</v>
      </c>
      <c r="N241" s="80"/>
      <c r="O241" s="80"/>
      <c r="P241" s="80"/>
      <c r="R241" s="185"/>
      <c r="S241" s="185"/>
      <c r="T241" s="182"/>
      <c r="U241" s="494"/>
      <c r="V241" s="494"/>
      <c r="W241" s="494"/>
      <c r="X241" s="487"/>
      <c r="Y241" s="487"/>
      <c r="Z241" s="182"/>
      <c r="AA241" s="182"/>
      <c r="AB241" s="182"/>
    </row>
    <row r="242" spans="1:28" x14ac:dyDescent="0.25">
      <c r="A242" s="34" t="s">
        <v>457</v>
      </c>
      <c r="K242" s="101"/>
      <c r="M242" s="190" t="s">
        <v>479</v>
      </c>
      <c r="N242" s="6"/>
      <c r="O242" s="6"/>
      <c r="P242" s="6" t="s">
        <v>475</v>
      </c>
      <c r="R242" s="185"/>
      <c r="S242" s="185"/>
      <c r="T242" s="182"/>
      <c r="U242" s="494"/>
      <c r="V242" s="494"/>
      <c r="W242" s="540" t="s">
        <v>167</v>
      </c>
      <c r="X242" s="541"/>
      <c r="Y242" s="539">
        <f>Y228+Y236</f>
        <v>8108202.29</v>
      </c>
      <c r="Z242" s="182"/>
      <c r="AA242" s="182"/>
      <c r="AB242" s="182"/>
    </row>
    <row r="243" spans="1:28" x14ac:dyDescent="0.25">
      <c r="A243" s="294" t="s">
        <v>29</v>
      </c>
      <c r="B243" s="286" t="s">
        <v>28</v>
      </c>
      <c r="C243" s="295"/>
      <c r="D243" s="287"/>
      <c r="E243" s="285"/>
      <c r="F243" s="288"/>
      <c r="G243" s="289"/>
      <c r="H243" s="285"/>
      <c r="I243" s="290"/>
      <c r="J243" s="289"/>
      <c r="K243" s="296">
        <f>'ALT-ED'!L36</f>
        <v>0</v>
      </c>
      <c r="L243" s="297"/>
      <c r="M243" s="450">
        <f>'ALT-ED'!O36</f>
        <v>0</v>
      </c>
      <c r="N243" s="351"/>
      <c r="O243" s="351"/>
      <c r="P243" s="352">
        <f>N243+O243</f>
        <v>0</v>
      </c>
      <c r="R243" s="185"/>
      <c r="S243" s="185"/>
      <c r="T243" s="182"/>
      <c r="U243" s="494"/>
      <c r="V243" s="494"/>
      <c r="W243" s="504" t="s">
        <v>526</v>
      </c>
      <c r="X243" s="502"/>
      <c r="Y243" s="542">
        <f>B260</f>
        <v>584690.15</v>
      </c>
      <c r="Z243" s="182"/>
      <c r="AA243" s="182"/>
      <c r="AB243" s="182"/>
    </row>
    <row r="244" spans="1:28" x14ac:dyDescent="0.25">
      <c r="A244" s="280"/>
      <c r="B244" s="281"/>
      <c r="C244" s="281"/>
      <c r="D244" s="331"/>
      <c r="E244" s="281"/>
      <c r="F244" s="281"/>
      <c r="G244" s="281"/>
      <c r="H244" s="281"/>
      <c r="I244" s="281"/>
      <c r="J244" s="281"/>
      <c r="K244" s="282"/>
      <c r="L244" s="350"/>
      <c r="M244" s="451"/>
      <c r="N244" s="284"/>
      <c r="O244" s="284"/>
      <c r="P244" s="284"/>
      <c r="R244" s="185"/>
      <c r="S244" s="185"/>
      <c r="T244" s="182"/>
      <c r="U244" s="494"/>
      <c r="V244" s="494"/>
      <c r="W244" s="504" t="s">
        <v>525</v>
      </c>
      <c r="X244" s="502"/>
      <c r="Y244" s="543">
        <f>B261</f>
        <v>170527.22</v>
      </c>
      <c r="Z244" s="182"/>
      <c r="AA244" s="182"/>
      <c r="AB244" s="182"/>
    </row>
    <row r="245" spans="1:28" x14ac:dyDescent="0.25">
      <c r="A245" s="294" t="s">
        <v>454</v>
      </c>
      <c r="B245" s="286" t="s">
        <v>59</v>
      </c>
      <c r="C245" s="295"/>
      <c r="D245" s="287"/>
      <c r="E245" s="332"/>
      <c r="F245" s="295"/>
      <c r="G245" s="333"/>
      <c r="H245" s="332"/>
      <c r="I245" s="295"/>
      <c r="J245" s="333"/>
      <c r="K245" s="332">
        <f>'ALT-ED'!L38</f>
        <v>18.5</v>
      </c>
      <c r="L245" s="297"/>
      <c r="M245" s="450">
        <f>'ALT-ED'!O38</f>
        <v>6937.5</v>
      </c>
      <c r="N245" s="298"/>
      <c r="O245" s="298"/>
      <c r="P245" s="299">
        <f>'ALT-ED'!S9</f>
        <v>0</v>
      </c>
      <c r="R245" s="185"/>
      <c r="S245" s="185"/>
      <c r="T245" s="182"/>
      <c r="U245" s="494"/>
      <c r="V245" s="494"/>
      <c r="W245" s="544" t="s">
        <v>549</v>
      </c>
      <c r="X245" s="502"/>
      <c r="Y245" s="542">
        <f>B262</f>
        <v>13230</v>
      </c>
      <c r="Z245" s="182"/>
      <c r="AA245" s="182"/>
      <c r="AB245" s="182"/>
    </row>
    <row r="246" spans="1:28" x14ac:dyDescent="0.25">
      <c r="A246" s="281"/>
      <c r="B246" s="281"/>
      <c r="C246" s="281"/>
      <c r="D246" s="331"/>
      <c r="E246" s="281"/>
      <c r="F246" s="281"/>
      <c r="G246" s="281"/>
      <c r="H246" s="281"/>
      <c r="I246" s="281"/>
      <c r="J246" s="281"/>
      <c r="K246" s="282"/>
      <c r="L246" s="350"/>
      <c r="M246" s="451"/>
      <c r="N246" s="281"/>
      <c r="O246" s="281"/>
      <c r="P246" s="301">
        <f>SUM(N246+O246)</f>
        <v>0</v>
      </c>
      <c r="R246" s="185"/>
      <c r="S246" s="185"/>
      <c r="T246" s="182"/>
      <c r="U246" s="494"/>
      <c r="V246" s="494"/>
      <c r="W246" s="501"/>
      <c r="X246" s="502"/>
      <c r="Y246" s="503"/>
      <c r="Z246" s="182"/>
      <c r="AA246" s="182"/>
      <c r="AB246" s="182"/>
    </row>
    <row r="247" spans="1:28" ht="13.8" thickBot="1" x14ac:dyDescent="0.3">
      <c r="A247" s="294" t="s">
        <v>455</v>
      </c>
      <c r="B247" s="286" t="s">
        <v>59</v>
      </c>
      <c r="C247" s="295"/>
      <c r="D247" s="287"/>
      <c r="E247" s="285"/>
      <c r="F247" s="290"/>
      <c r="G247" s="289"/>
      <c r="H247" s="285"/>
      <c r="I247" s="290"/>
      <c r="J247" s="289"/>
      <c r="K247" s="285">
        <f>'ALT-ED'!L40</f>
        <v>0</v>
      </c>
      <c r="L247" s="297"/>
      <c r="M247" s="450">
        <f>'ALT-ED'!O40</f>
        <v>0</v>
      </c>
      <c r="N247" s="298"/>
      <c r="O247" s="298"/>
      <c r="P247" s="299">
        <f>SUM(N247+O247)</f>
        <v>0</v>
      </c>
      <c r="R247" s="185"/>
      <c r="S247" s="185"/>
      <c r="T247" s="182"/>
      <c r="U247" s="494"/>
      <c r="V247" s="494"/>
      <c r="W247" s="547" t="s">
        <v>612</v>
      </c>
      <c r="X247" s="545"/>
      <c r="Y247" s="546">
        <f>SUM(Y242:Y245)</f>
        <v>8876649.6600000001</v>
      </c>
      <c r="Z247" s="182"/>
      <c r="AA247" s="182"/>
      <c r="AB247" s="182"/>
    </row>
    <row r="248" spans="1:28" x14ac:dyDescent="0.25">
      <c r="A248" s="281"/>
      <c r="B248" s="281"/>
      <c r="C248" s="281"/>
      <c r="D248" s="331"/>
      <c r="E248" s="281"/>
      <c r="F248" s="281"/>
      <c r="G248" s="281"/>
      <c r="H248" s="281"/>
      <c r="I248" s="281"/>
      <c r="J248" s="281"/>
      <c r="K248" s="282"/>
      <c r="L248" s="350"/>
      <c r="M248" s="451"/>
      <c r="N248" s="300"/>
      <c r="O248" s="300"/>
      <c r="P248" s="301">
        <f>SUM(N248+O248)</f>
        <v>0</v>
      </c>
      <c r="R248" s="185"/>
      <c r="S248" s="185"/>
      <c r="T248" s="182"/>
      <c r="U248" s="494"/>
      <c r="V248" s="494"/>
      <c r="W248" s="494"/>
      <c r="X248" s="182"/>
      <c r="Y248" s="182"/>
      <c r="Z248" s="182"/>
      <c r="AA248" s="182"/>
      <c r="AB248" s="182"/>
    </row>
    <row r="249" spans="1:28" x14ac:dyDescent="0.25">
      <c r="A249" s="294" t="s">
        <v>269</v>
      </c>
      <c r="B249" s="286" t="s">
        <v>59</v>
      </c>
      <c r="C249" s="295"/>
      <c r="D249" s="287"/>
      <c r="E249" s="332"/>
      <c r="F249" s="295"/>
      <c r="G249" s="333"/>
      <c r="H249" s="332"/>
      <c r="I249" s="295"/>
      <c r="J249" s="333"/>
      <c r="K249" s="296">
        <f>'ALT-ED'!L14</f>
        <v>1</v>
      </c>
      <c r="L249" s="297"/>
      <c r="M249" s="450">
        <f>'ALT-ED'!O44</f>
        <v>6292.5</v>
      </c>
      <c r="N249" s="298"/>
      <c r="O249" s="298"/>
      <c r="P249" s="299">
        <f>SUM(N249+O249)</f>
        <v>0</v>
      </c>
      <c r="R249" s="185"/>
      <c r="S249" s="185"/>
      <c r="T249" s="182"/>
      <c r="U249" s="494"/>
      <c r="V249" s="494"/>
      <c r="W249" s="494"/>
      <c r="X249" s="182"/>
      <c r="Y249" s="182"/>
      <c r="Z249" s="182"/>
      <c r="AA249" s="182"/>
      <c r="AB249" s="182"/>
    </row>
    <row r="250" spans="1:28" x14ac:dyDescent="0.25">
      <c r="A250" s="281"/>
      <c r="B250" s="281"/>
      <c r="C250" s="281"/>
      <c r="D250" s="331"/>
      <c r="E250" s="281"/>
      <c r="F250" s="281"/>
      <c r="G250" s="281"/>
      <c r="H250" s="281"/>
      <c r="I250" s="281"/>
      <c r="J250" s="281"/>
      <c r="K250" s="282"/>
      <c r="L250" s="350"/>
      <c r="M250" s="451"/>
      <c r="N250" s="300"/>
      <c r="O250" s="300"/>
      <c r="P250" s="301"/>
      <c r="R250" s="185"/>
      <c r="S250" s="185"/>
      <c r="T250" s="182"/>
      <c r="U250" s="494"/>
      <c r="V250" s="494"/>
      <c r="W250" s="494"/>
      <c r="X250" s="182"/>
      <c r="Y250" s="182"/>
      <c r="Z250" s="182"/>
      <c r="AA250" s="182"/>
      <c r="AB250" s="182"/>
    </row>
    <row r="251" spans="1:28" x14ac:dyDescent="0.25">
      <c r="A251" s="294" t="s">
        <v>32</v>
      </c>
      <c r="B251" s="286" t="s">
        <v>59</v>
      </c>
      <c r="C251" s="295"/>
      <c r="D251" s="287"/>
      <c r="E251" s="285"/>
      <c r="F251" s="290"/>
      <c r="G251" s="289"/>
      <c r="H251" s="285"/>
      <c r="I251" s="290"/>
      <c r="J251" s="289"/>
      <c r="K251" s="285">
        <f>'ALT-ED'!L42</f>
        <v>0</v>
      </c>
      <c r="L251" s="297"/>
      <c r="M251" s="450">
        <f>'ALT-ED'!O42</f>
        <v>0</v>
      </c>
      <c r="N251" s="298"/>
      <c r="O251" s="298"/>
      <c r="P251" s="299">
        <f>SUM(N251+O251)</f>
        <v>0</v>
      </c>
      <c r="R251" s="185"/>
      <c r="S251" s="185"/>
      <c r="T251" s="182"/>
      <c r="U251" s="494"/>
      <c r="V251" s="494"/>
      <c r="W251" s="494"/>
      <c r="X251" s="182"/>
      <c r="Y251" s="182"/>
      <c r="Z251" s="182"/>
      <c r="AA251" s="182"/>
      <c r="AB251" s="182"/>
    </row>
    <row r="252" spans="1:28" s="487" customFormat="1" x14ac:dyDescent="0.25">
      <c r="A252" s="571"/>
      <c r="B252" s="571" t="s">
        <v>628</v>
      </c>
      <c r="C252" s="572"/>
      <c r="D252" s="340"/>
      <c r="E252" s="260"/>
      <c r="F252" s="260"/>
      <c r="G252" s="260"/>
      <c r="H252" s="260"/>
      <c r="I252" s="260"/>
      <c r="J252" s="260"/>
      <c r="K252" s="260">
        <f>SUM(K243:K251)</f>
        <v>19.5</v>
      </c>
      <c r="L252" s="573"/>
      <c r="M252" s="574">
        <f>SUM(M243:M251)</f>
        <v>13230</v>
      </c>
      <c r="N252" s="575"/>
      <c r="O252" s="575"/>
      <c r="P252" s="575">
        <f>SUM(P243:P251)</f>
        <v>0</v>
      </c>
      <c r="R252" s="185"/>
      <c r="S252" s="185"/>
      <c r="T252" s="182"/>
      <c r="U252" s="494"/>
      <c r="V252" s="494"/>
      <c r="W252" s="494"/>
      <c r="X252" s="182"/>
      <c r="Y252" s="182"/>
      <c r="Z252" s="182"/>
      <c r="AA252" s="182"/>
      <c r="AB252" s="182"/>
    </row>
    <row r="253" spans="1:28" x14ac:dyDescent="0.25">
      <c r="K253" s="101"/>
      <c r="M253" s="80"/>
      <c r="N253" s="80"/>
      <c r="O253" s="80"/>
      <c r="P253" s="191" t="s">
        <v>1</v>
      </c>
      <c r="R253" s="185"/>
      <c r="S253" s="185"/>
      <c r="T253" s="182"/>
      <c r="U253" s="494"/>
      <c r="V253" s="494"/>
      <c r="W253" s="494"/>
      <c r="X253" s="182"/>
      <c r="Y253" s="182"/>
      <c r="Z253" s="182"/>
      <c r="AA253" s="182"/>
      <c r="AB253" s="182"/>
    </row>
    <row r="254" spans="1:28" x14ac:dyDescent="0.25">
      <c r="K254" s="101"/>
      <c r="L254" s="210" t="s">
        <v>474</v>
      </c>
      <c r="M254" s="191">
        <f>M238+M243+M245+M247+M249+M251</f>
        <v>8247246.1299999999</v>
      </c>
      <c r="N254" s="80">
        <f>M228+M236</f>
        <v>8234016.1299999999</v>
      </c>
      <c r="O254" s="267">
        <f>M252</f>
        <v>13230</v>
      </c>
      <c r="P254" s="256">
        <f>N254+O254</f>
        <v>8247246.1299999999</v>
      </c>
      <c r="R254" s="185"/>
      <c r="S254" s="185"/>
      <c r="T254" s="182"/>
      <c r="U254" s="494"/>
      <c r="V254" s="494"/>
      <c r="W254" s="494"/>
      <c r="X254" s="182"/>
      <c r="Y254" s="182"/>
      <c r="Z254" s="182"/>
      <c r="AA254" s="182"/>
      <c r="AB254" s="182"/>
    </row>
    <row r="255" spans="1:28" x14ac:dyDescent="0.25">
      <c r="A255" s="6" t="s">
        <v>459</v>
      </c>
      <c r="B255" s="889">
        <v>9000000</v>
      </c>
      <c r="F255" s="191"/>
      <c r="K255" s="101"/>
      <c r="L255" s="210" t="s">
        <v>475</v>
      </c>
      <c r="M255" s="80">
        <f>P238</f>
        <v>584690.15</v>
      </c>
      <c r="N255" s="80"/>
      <c r="O255" s="80"/>
      <c r="P255" s="256">
        <f>P254-M254</f>
        <v>0</v>
      </c>
      <c r="R255" s="185"/>
      <c r="S255" s="185"/>
      <c r="T255" s="182"/>
      <c r="U255" s="494"/>
      <c r="V255" s="494"/>
      <c r="W255" s="494"/>
      <c r="X255" s="182"/>
      <c r="Y255" s="182"/>
      <c r="Z255" s="182"/>
      <c r="AA255" s="182"/>
      <c r="AB255" s="182"/>
    </row>
    <row r="256" spans="1:28" x14ac:dyDescent="0.25">
      <c r="A256" s="6" t="s">
        <v>634</v>
      </c>
      <c r="B256" s="80">
        <v>0</v>
      </c>
      <c r="K256" s="101"/>
      <c r="L256" s="210" t="s">
        <v>476</v>
      </c>
      <c r="M256" s="80">
        <f>Differential!E33</f>
        <v>170527.22</v>
      </c>
      <c r="N256" s="80"/>
      <c r="O256" s="80"/>
      <c r="R256" s="185"/>
      <c r="S256" s="185"/>
      <c r="T256" s="182"/>
      <c r="U256" s="494"/>
      <c r="V256" s="494"/>
      <c r="W256" s="494"/>
      <c r="X256" s="182"/>
      <c r="Y256" s="182"/>
      <c r="Z256" s="182"/>
      <c r="AA256" s="182"/>
      <c r="AB256" s="182"/>
    </row>
    <row r="257" spans="1:28" x14ac:dyDescent="0.25">
      <c r="A257" s="97" t="s">
        <v>460</v>
      </c>
      <c r="B257" s="190">
        <f>B255+B256</f>
        <v>9000000</v>
      </c>
      <c r="K257" s="101"/>
      <c r="M257" s="80"/>
      <c r="N257" s="80"/>
      <c r="O257" s="80"/>
      <c r="R257" s="185"/>
      <c r="S257" s="185"/>
      <c r="T257" s="182"/>
      <c r="U257" s="494"/>
      <c r="V257" s="494"/>
      <c r="W257" s="494"/>
      <c r="X257" s="182"/>
      <c r="Y257" s="182"/>
      <c r="Z257" s="182"/>
      <c r="AA257" s="182"/>
      <c r="AB257" s="182"/>
    </row>
    <row r="258" spans="1:28" x14ac:dyDescent="0.25">
      <c r="A258" s="578" t="s">
        <v>463</v>
      </c>
      <c r="B258" s="579">
        <f>B257*0.05</f>
        <v>450000</v>
      </c>
      <c r="C258" s="249" t="s">
        <v>1</v>
      </c>
      <c r="K258" s="101"/>
      <c r="M258" s="80" t="s">
        <v>1</v>
      </c>
      <c r="N258" s="80"/>
      <c r="O258" s="80"/>
      <c r="R258" s="185"/>
      <c r="S258" s="185"/>
      <c r="T258" s="182"/>
      <c r="U258" s="494"/>
      <c r="V258" s="494"/>
      <c r="W258" s="494"/>
      <c r="X258" s="182"/>
      <c r="Y258" s="182"/>
      <c r="Z258" s="182"/>
      <c r="AA258" s="182"/>
      <c r="AB258" s="182"/>
    </row>
    <row r="259" spans="1:28" x14ac:dyDescent="0.25">
      <c r="A259" s="97"/>
      <c r="B259" s="80"/>
      <c r="K259" s="101"/>
      <c r="M259" s="80" t="s">
        <v>1</v>
      </c>
      <c r="N259" s="80"/>
      <c r="O259" s="80"/>
      <c r="R259" s="185"/>
      <c r="S259" s="185"/>
      <c r="T259" s="182"/>
      <c r="U259" s="494"/>
      <c r="V259" s="494"/>
      <c r="W259" s="494"/>
      <c r="X259" s="182"/>
      <c r="Y259" s="182"/>
      <c r="Z259" s="182"/>
      <c r="AA259" s="182"/>
      <c r="AB259" s="182"/>
    </row>
    <row r="260" spans="1:28" x14ac:dyDescent="0.25">
      <c r="A260" s="6" t="s">
        <v>461</v>
      </c>
      <c r="B260" s="80">
        <f>P238</f>
        <v>584690.15</v>
      </c>
      <c r="K260" s="101"/>
      <c r="M260" s="249" t="s">
        <v>1</v>
      </c>
      <c r="N260" s="80"/>
      <c r="O260" s="80"/>
      <c r="R260" s="185"/>
      <c r="S260" s="185"/>
      <c r="T260" s="182"/>
      <c r="U260" s="494"/>
      <c r="V260" s="494"/>
      <c r="W260" s="494"/>
      <c r="X260" s="182"/>
      <c r="Y260" s="182"/>
      <c r="Z260" s="182"/>
      <c r="AA260" s="182"/>
      <c r="AB260" s="182"/>
    </row>
    <row r="261" spans="1:28" x14ac:dyDescent="0.25">
      <c r="A261" s="6" t="s">
        <v>462</v>
      </c>
      <c r="B261" s="72">
        <f>Differential!E33</f>
        <v>170527.22</v>
      </c>
      <c r="K261" s="101"/>
      <c r="M261" s="249" t="s">
        <v>1</v>
      </c>
      <c r="N261" s="80"/>
      <c r="O261" s="80"/>
      <c r="R261" s="185"/>
      <c r="S261" s="185"/>
      <c r="T261" s="182"/>
      <c r="U261" s="494"/>
      <c r="V261" s="494"/>
      <c r="W261" s="494"/>
      <c r="X261" s="182"/>
      <c r="Y261" s="182"/>
      <c r="Z261" s="182"/>
      <c r="AA261" s="182"/>
      <c r="AB261" s="182"/>
    </row>
    <row r="262" spans="1:28" x14ac:dyDescent="0.25">
      <c r="A262" s="6" t="s">
        <v>471</v>
      </c>
      <c r="B262" s="80">
        <f>M252</f>
        <v>13230</v>
      </c>
      <c r="K262" s="101"/>
      <c r="M262" s="249" t="s">
        <v>1</v>
      </c>
      <c r="N262" s="80"/>
      <c r="O262" s="80"/>
      <c r="R262" s="185"/>
      <c r="S262" s="185"/>
      <c r="T262" s="182"/>
      <c r="U262" s="494"/>
      <c r="V262" s="494"/>
      <c r="W262" s="494"/>
      <c r="X262" s="182"/>
      <c r="Y262" s="182"/>
      <c r="Z262" s="182"/>
      <c r="AA262" s="182"/>
      <c r="AB262" s="182"/>
    </row>
    <row r="263" spans="1:28" x14ac:dyDescent="0.25">
      <c r="B263" s="256" t="s">
        <v>1</v>
      </c>
      <c r="K263" s="101"/>
      <c r="M263"/>
      <c r="N263" s="80"/>
      <c r="O263" s="80"/>
      <c r="R263" s="185"/>
      <c r="S263" s="185"/>
      <c r="T263" s="182"/>
      <c r="U263" s="494"/>
      <c r="V263" s="494"/>
      <c r="W263" s="494"/>
      <c r="X263" s="182"/>
      <c r="Y263" s="182"/>
      <c r="Z263" s="182"/>
      <c r="AA263" s="182"/>
      <c r="AB263" s="182"/>
    </row>
    <row r="264" spans="1:28" ht="26.4" x14ac:dyDescent="0.25">
      <c r="A264" s="180" t="s">
        <v>464</v>
      </c>
      <c r="B264" s="80">
        <f>B257-B260-B261-B262</f>
        <v>8231552.6299999999</v>
      </c>
      <c r="K264" s="101"/>
      <c r="M264"/>
      <c r="N264" s="80"/>
      <c r="O264" s="80"/>
      <c r="R264" s="185"/>
      <c r="S264" s="185"/>
      <c r="T264" s="182"/>
      <c r="U264" s="494"/>
      <c r="V264" s="494"/>
      <c r="W264" s="494"/>
      <c r="X264" s="182"/>
      <c r="Y264" s="182"/>
      <c r="Z264" s="182"/>
      <c r="AA264" s="182"/>
      <c r="AB264" s="182"/>
    </row>
    <row r="265" spans="1:28" x14ac:dyDescent="0.25">
      <c r="K265" s="101"/>
      <c r="M265"/>
      <c r="N265" s="80"/>
      <c r="O265" s="80"/>
      <c r="R265" s="185"/>
      <c r="S265" s="185"/>
      <c r="T265" s="182"/>
      <c r="U265" s="494"/>
      <c r="V265" s="494"/>
      <c r="W265" s="494"/>
      <c r="X265" s="182"/>
      <c r="Y265" s="182"/>
      <c r="Z265" s="182"/>
      <c r="AA265" s="182"/>
      <c r="AB265" s="182"/>
    </row>
    <row r="266" spans="1:28" x14ac:dyDescent="0.25">
      <c r="A266" s="6" t="s">
        <v>465</v>
      </c>
      <c r="B266" s="202">
        <f>B264/K238</f>
        <v>3726.3709260000001</v>
      </c>
      <c r="C266" t="s">
        <v>1</v>
      </c>
      <c r="K266" s="101"/>
      <c r="M266"/>
      <c r="N266" s="80"/>
      <c r="O266" s="80"/>
      <c r="R266" s="185"/>
      <c r="S266" s="185"/>
      <c r="T266" s="182"/>
      <c r="U266" s="494"/>
      <c r="V266" s="494"/>
      <c r="W266" s="494"/>
      <c r="X266" s="182"/>
      <c r="Y266" s="182"/>
      <c r="Z266" s="182"/>
      <c r="AA266" s="182"/>
      <c r="AB266" s="182"/>
    </row>
    <row r="267" spans="1:28" x14ac:dyDescent="0.25">
      <c r="K267" s="101"/>
      <c r="M267"/>
      <c r="N267" s="80"/>
      <c r="O267" s="80"/>
      <c r="R267" s="185"/>
      <c r="S267" s="185"/>
      <c r="T267" s="182"/>
      <c r="U267" s="494"/>
      <c r="V267" s="494"/>
      <c r="W267" s="494"/>
      <c r="X267" s="182"/>
      <c r="Y267" s="182"/>
      <c r="Z267" s="182"/>
      <c r="AA267" s="182"/>
      <c r="AB267" s="182"/>
    </row>
    <row r="268" spans="1:28" x14ac:dyDescent="0.25">
      <c r="B268" s="256">
        <f>B266*K238</f>
        <v>8231552.6299999999</v>
      </c>
      <c r="C268" s="924" t="s">
        <v>844</v>
      </c>
      <c r="K268" s="101"/>
      <c r="M268"/>
      <c r="N268" s="80"/>
      <c r="O268" s="80"/>
      <c r="R268" s="185"/>
      <c r="S268" s="185"/>
      <c r="T268" s="182"/>
      <c r="U268" s="494"/>
      <c r="V268" s="494"/>
      <c r="W268" s="494"/>
      <c r="X268" s="182"/>
      <c r="Y268" s="182"/>
      <c r="Z268" s="182"/>
      <c r="AA268" s="182"/>
      <c r="AB268" s="182"/>
    </row>
    <row r="269" spans="1:28" x14ac:dyDescent="0.25">
      <c r="K269" s="101"/>
      <c r="M269"/>
      <c r="R269" s="185"/>
      <c r="S269" s="185"/>
      <c r="T269" s="182"/>
      <c r="U269" s="494"/>
      <c r="V269" s="494"/>
      <c r="W269" s="494"/>
      <c r="X269" s="182"/>
      <c r="Y269" s="182"/>
      <c r="Z269" s="182"/>
      <c r="AA269" s="182"/>
      <c r="AB269" s="182"/>
    </row>
    <row r="270" spans="1:28" x14ac:dyDescent="0.25">
      <c r="B270" s="267" t="s">
        <v>1</v>
      </c>
      <c r="K270" s="101"/>
      <c r="M270"/>
      <c r="R270" s="185"/>
      <c r="S270" s="185"/>
      <c r="T270" s="182"/>
      <c r="U270" s="494"/>
      <c r="V270" s="494"/>
      <c r="W270" s="494"/>
      <c r="X270" s="182"/>
      <c r="Y270" s="182"/>
      <c r="Z270" s="182"/>
      <c r="AA270" s="182"/>
      <c r="AB270" s="182"/>
    </row>
    <row r="271" spans="1:28" x14ac:dyDescent="0.25">
      <c r="B271" s="267" t="s">
        <v>1</v>
      </c>
      <c r="K271" s="101"/>
      <c r="M271"/>
      <c r="R271" s="185"/>
      <c r="S271" s="185"/>
      <c r="T271" s="182"/>
      <c r="U271" s="494"/>
      <c r="V271" s="494"/>
      <c r="W271" s="494"/>
      <c r="X271" s="182"/>
      <c r="Y271" s="182"/>
      <c r="Z271" s="182"/>
      <c r="AA271" s="182"/>
      <c r="AB271" s="182"/>
    </row>
    <row r="272" spans="1:28" x14ac:dyDescent="0.25">
      <c r="B272" s="257" t="s">
        <v>1</v>
      </c>
      <c r="K272" s="101"/>
      <c r="M272"/>
      <c r="R272" s="185"/>
      <c r="S272" s="185"/>
      <c r="T272" s="182"/>
      <c r="U272" s="494"/>
      <c r="V272" s="494"/>
      <c r="W272" s="494"/>
      <c r="X272" s="182"/>
      <c r="Y272" s="182"/>
      <c r="Z272" s="182"/>
      <c r="AA272" s="182"/>
      <c r="AB272" s="182"/>
    </row>
    <row r="273" spans="2:28" x14ac:dyDescent="0.25">
      <c r="B273" s="257" t="s">
        <v>1</v>
      </c>
      <c r="K273" s="101"/>
      <c r="M273"/>
      <c r="R273" s="185"/>
      <c r="S273" s="185"/>
      <c r="T273" s="182"/>
      <c r="U273" s="494"/>
      <c r="V273" s="494"/>
      <c r="W273" s="494"/>
      <c r="X273" s="182"/>
      <c r="Y273" s="182"/>
      <c r="Z273" s="182"/>
      <c r="AA273" s="182"/>
      <c r="AB273" s="182"/>
    </row>
    <row r="274" spans="2:28" x14ac:dyDescent="0.25">
      <c r="B274" s="267" t="s">
        <v>1</v>
      </c>
      <c r="K274" s="101"/>
      <c r="M274"/>
      <c r="R274" s="185"/>
      <c r="S274" s="185"/>
      <c r="T274" s="182"/>
      <c r="U274" s="494"/>
      <c r="V274" s="494"/>
      <c r="W274" s="494"/>
      <c r="X274" s="182"/>
      <c r="Y274" s="182"/>
      <c r="Z274" s="182"/>
      <c r="AA274" s="182"/>
      <c r="AB274" s="182"/>
    </row>
    <row r="275" spans="2:28" x14ac:dyDescent="0.25">
      <c r="B275" s="866" t="s">
        <v>1</v>
      </c>
      <c r="K275" s="101"/>
      <c r="M275"/>
      <c r="R275" s="185"/>
      <c r="S275" s="185"/>
      <c r="T275" s="182"/>
      <c r="U275" s="494"/>
      <c r="V275" s="494"/>
      <c r="W275" s="494"/>
      <c r="X275" s="182"/>
      <c r="Y275" s="182"/>
      <c r="Z275" s="182"/>
      <c r="AA275" s="182"/>
      <c r="AB275" s="182"/>
    </row>
    <row r="276" spans="2:28" x14ac:dyDescent="0.25">
      <c r="K276" s="101"/>
      <c r="M276"/>
      <c r="R276" s="185"/>
      <c r="S276" s="185"/>
      <c r="T276" s="182"/>
      <c r="U276" s="494"/>
      <c r="V276" s="494"/>
      <c r="W276" s="494"/>
      <c r="X276" s="182"/>
      <c r="Y276" s="182"/>
      <c r="Z276" s="182"/>
      <c r="AA276" s="182"/>
      <c r="AB276" s="182"/>
    </row>
    <row r="277" spans="2:28" x14ac:dyDescent="0.25">
      <c r="D277"/>
      <c r="K277" s="101"/>
      <c r="M277"/>
      <c r="R277" s="185"/>
      <c r="S277" s="185"/>
      <c r="T277" s="182"/>
      <c r="U277" s="494"/>
      <c r="V277" s="494"/>
      <c r="W277" s="494"/>
      <c r="X277" s="182"/>
      <c r="Y277" s="182"/>
      <c r="Z277" s="182"/>
      <c r="AA277" s="182"/>
      <c r="AB277" s="182"/>
    </row>
    <row r="278" spans="2:28" x14ac:dyDescent="0.25">
      <c r="D278"/>
      <c r="K278" s="101"/>
      <c r="M278"/>
      <c r="R278" s="185"/>
      <c r="S278" s="185"/>
      <c r="T278" s="182"/>
      <c r="U278" s="494"/>
      <c r="V278" s="494"/>
      <c r="W278" s="494"/>
      <c r="X278" s="182"/>
      <c r="Y278" s="182"/>
      <c r="Z278" s="182"/>
      <c r="AA278" s="182"/>
      <c r="AB278" s="182"/>
    </row>
    <row r="279" spans="2:28" x14ac:dyDescent="0.25">
      <c r="D279"/>
      <c r="K279" s="101"/>
      <c r="M279"/>
      <c r="R279" s="185"/>
      <c r="S279" s="185"/>
      <c r="T279" s="182"/>
      <c r="U279" s="494"/>
      <c r="V279" s="494"/>
      <c r="W279" s="494"/>
      <c r="X279" s="182"/>
      <c r="Y279" s="182"/>
      <c r="Z279" s="182"/>
      <c r="AA279" s="182"/>
      <c r="AB279" s="182"/>
    </row>
    <row r="280" spans="2:28" x14ac:dyDescent="0.25">
      <c r="D280"/>
      <c r="K280" s="101"/>
      <c r="M280"/>
      <c r="R280" s="185"/>
      <c r="S280" s="185"/>
      <c r="T280" s="182"/>
      <c r="U280" s="494"/>
      <c r="V280" s="494"/>
      <c r="W280" s="494"/>
      <c r="X280" s="182"/>
      <c r="Y280" s="182"/>
      <c r="Z280" s="182"/>
      <c r="AA280" s="182"/>
      <c r="AB280" s="182"/>
    </row>
    <row r="281" spans="2:28" x14ac:dyDescent="0.25">
      <c r="D281"/>
      <c r="K281" s="101"/>
      <c r="M281"/>
      <c r="R281" s="185"/>
      <c r="S281" s="185"/>
      <c r="T281" s="182"/>
      <c r="U281" s="494"/>
      <c r="V281" s="494"/>
      <c r="W281" s="494"/>
      <c r="X281" s="182"/>
      <c r="Y281" s="182"/>
      <c r="Z281" s="182"/>
      <c r="AA281" s="182"/>
      <c r="AB281" s="182"/>
    </row>
    <row r="282" spans="2:28" x14ac:dyDescent="0.25">
      <c r="D282"/>
      <c r="K282" s="101"/>
      <c r="M282"/>
      <c r="R282" s="185"/>
      <c r="S282" s="185"/>
      <c r="T282" s="182"/>
      <c r="U282" s="494"/>
      <c r="V282" s="494"/>
      <c r="W282" s="494"/>
      <c r="X282" s="182"/>
      <c r="Y282" s="182"/>
      <c r="Z282" s="182"/>
      <c r="AA282" s="182"/>
      <c r="AB282" s="182"/>
    </row>
    <row r="283" spans="2:28" x14ac:dyDescent="0.25">
      <c r="D283"/>
      <c r="K283" s="101"/>
      <c r="M283"/>
      <c r="R283" s="185"/>
      <c r="S283" s="185"/>
      <c r="T283" s="182"/>
      <c r="U283" s="494"/>
      <c r="V283" s="494"/>
      <c r="W283" s="494"/>
      <c r="X283" s="182"/>
      <c r="Y283" s="182"/>
      <c r="Z283" s="182"/>
      <c r="AA283" s="182"/>
      <c r="AB283" s="182"/>
    </row>
    <row r="284" spans="2:28" x14ac:dyDescent="0.25">
      <c r="D284"/>
      <c r="K284" s="101"/>
      <c r="M284"/>
      <c r="R284" s="185"/>
      <c r="S284" s="185"/>
      <c r="T284" s="182"/>
      <c r="U284" s="494"/>
      <c r="V284" s="494"/>
      <c r="W284" s="494"/>
      <c r="X284" s="182"/>
      <c r="Y284" s="182"/>
      <c r="Z284" s="182"/>
      <c r="AA284" s="182"/>
      <c r="AB284" s="182"/>
    </row>
    <row r="285" spans="2:28" x14ac:dyDescent="0.25">
      <c r="D285"/>
      <c r="K285" s="101"/>
      <c r="M285"/>
      <c r="R285" s="185"/>
      <c r="S285" s="185"/>
      <c r="T285" s="182"/>
      <c r="U285" s="494"/>
      <c r="V285" s="494"/>
      <c r="W285" s="494"/>
      <c r="X285" s="182"/>
      <c r="Y285" s="182"/>
      <c r="Z285" s="182"/>
      <c r="AA285" s="182"/>
      <c r="AB285" s="182"/>
    </row>
    <row r="286" spans="2:28" x14ac:dyDescent="0.25">
      <c r="D286"/>
      <c r="K286" s="101"/>
      <c r="M286"/>
      <c r="R286" s="185"/>
      <c r="S286" s="185"/>
      <c r="T286" s="182"/>
      <c r="U286" s="494"/>
      <c r="V286" s="494"/>
      <c r="W286" s="494"/>
      <c r="X286" s="182"/>
      <c r="Y286" s="182"/>
      <c r="Z286" s="182"/>
      <c r="AA286" s="182"/>
      <c r="AB286" s="182"/>
    </row>
    <row r="287" spans="2:28" x14ac:dyDescent="0.25">
      <c r="D287"/>
      <c r="K287" s="101"/>
      <c r="M287"/>
      <c r="R287" s="185"/>
      <c r="S287" s="185"/>
      <c r="T287" s="182"/>
      <c r="U287" s="494"/>
      <c r="V287" s="494"/>
      <c r="W287" s="494"/>
      <c r="X287" s="182"/>
      <c r="Y287" s="182"/>
      <c r="Z287" s="182"/>
      <c r="AA287" s="182"/>
      <c r="AB287" s="182"/>
    </row>
    <row r="288" spans="2:28" x14ac:dyDescent="0.25">
      <c r="D288"/>
      <c r="K288" s="101"/>
      <c r="M288"/>
      <c r="R288" s="185"/>
      <c r="S288" s="185"/>
      <c r="T288" s="182"/>
      <c r="U288" s="494"/>
      <c r="V288" s="494"/>
      <c r="W288" s="494"/>
      <c r="X288" s="182"/>
      <c r="Y288" s="182"/>
      <c r="Z288" s="182"/>
      <c r="AA288" s="182"/>
      <c r="AB288" s="182"/>
    </row>
    <row r="289" spans="4:28" x14ac:dyDescent="0.25">
      <c r="D289"/>
      <c r="K289" s="101"/>
      <c r="M289"/>
      <c r="R289" s="185"/>
      <c r="S289" s="185"/>
      <c r="T289" s="182"/>
      <c r="U289" s="494"/>
      <c r="V289" s="494"/>
      <c r="W289" s="494"/>
      <c r="X289" s="182"/>
      <c r="Y289" s="182"/>
      <c r="Z289" s="182"/>
      <c r="AA289" s="182"/>
      <c r="AB289" s="182"/>
    </row>
    <row r="290" spans="4:28" x14ac:dyDescent="0.25">
      <c r="D290"/>
      <c r="K290" s="101"/>
      <c r="M290"/>
      <c r="R290" s="185"/>
      <c r="S290" s="185"/>
      <c r="T290" s="182"/>
      <c r="U290" s="494"/>
      <c r="V290" s="494"/>
      <c r="W290" s="494"/>
      <c r="X290" s="182"/>
      <c r="Y290" s="182"/>
      <c r="Z290" s="182"/>
      <c r="AA290" s="182"/>
      <c r="AB290" s="182"/>
    </row>
    <row r="291" spans="4:28" x14ac:dyDescent="0.25">
      <c r="D291"/>
      <c r="K291" s="101"/>
      <c r="M291"/>
      <c r="R291" s="185"/>
      <c r="S291" s="185"/>
      <c r="T291" s="182"/>
      <c r="U291" s="494"/>
      <c r="V291" s="494"/>
      <c r="W291" s="494"/>
      <c r="X291" s="182"/>
      <c r="Y291" s="182"/>
      <c r="Z291" s="182"/>
      <c r="AA291" s="182"/>
      <c r="AB291" s="182"/>
    </row>
    <row r="292" spans="4:28" x14ac:dyDescent="0.25">
      <c r="D292"/>
      <c r="K292" s="101"/>
      <c r="M292"/>
      <c r="R292" s="185"/>
      <c r="S292" s="185"/>
      <c r="T292" s="182"/>
      <c r="U292" s="494"/>
      <c r="V292" s="494"/>
      <c r="W292" s="494"/>
      <c r="X292" s="182"/>
      <c r="Y292" s="182"/>
      <c r="Z292" s="182"/>
      <c r="AA292" s="182"/>
      <c r="AB292" s="182"/>
    </row>
    <row r="293" spans="4:28" x14ac:dyDescent="0.25">
      <c r="D293"/>
      <c r="K293" s="101"/>
      <c r="M293"/>
      <c r="R293" s="185"/>
      <c r="S293" s="185"/>
      <c r="T293" s="182"/>
      <c r="U293" s="494"/>
      <c r="V293" s="494"/>
      <c r="W293" s="494"/>
      <c r="X293" s="182"/>
      <c r="Y293" s="182"/>
      <c r="Z293" s="182"/>
      <c r="AA293" s="182"/>
      <c r="AB293" s="182"/>
    </row>
    <row r="294" spans="4:28" x14ac:dyDescent="0.25">
      <c r="D294"/>
      <c r="K294" s="101"/>
      <c r="M294"/>
      <c r="R294" s="185"/>
      <c r="S294" s="185"/>
      <c r="T294" s="182"/>
      <c r="U294" s="494"/>
      <c r="V294" s="494"/>
      <c r="W294" s="494"/>
      <c r="X294" s="182"/>
      <c r="Y294" s="182"/>
      <c r="Z294" s="182"/>
      <c r="AA294" s="182"/>
      <c r="AB294" s="182"/>
    </row>
    <row r="295" spans="4:28" x14ac:dyDescent="0.25">
      <c r="D295"/>
      <c r="K295" s="101"/>
      <c r="M295"/>
      <c r="R295" s="185"/>
      <c r="S295" s="185"/>
      <c r="T295" s="182"/>
      <c r="U295" s="494"/>
      <c r="V295" s="494"/>
      <c r="W295" s="494"/>
      <c r="X295" s="182"/>
      <c r="Y295" s="182"/>
      <c r="Z295" s="182"/>
      <c r="AA295" s="182"/>
      <c r="AB295" s="182"/>
    </row>
    <row r="296" spans="4:28" x14ac:dyDescent="0.25">
      <c r="D296"/>
      <c r="K296" s="101"/>
      <c r="M296"/>
      <c r="R296" s="185"/>
      <c r="S296" s="185"/>
      <c r="T296" s="182"/>
      <c r="U296" s="494"/>
      <c r="V296" s="494"/>
      <c r="W296" s="494"/>
      <c r="X296" s="182"/>
      <c r="Y296" s="182"/>
      <c r="Z296" s="182"/>
      <c r="AA296" s="182"/>
      <c r="AB296" s="182"/>
    </row>
    <row r="297" spans="4:28" x14ac:dyDescent="0.25">
      <c r="D297"/>
      <c r="K297" s="101"/>
      <c r="M297"/>
      <c r="R297" s="185"/>
      <c r="S297" s="185"/>
      <c r="T297" s="182"/>
      <c r="U297" s="494"/>
      <c r="V297" s="494"/>
      <c r="W297" s="494"/>
      <c r="X297" s="182"/>
      <c r="Y297" s="182"/>
      <c r="Z297" s="182"/>
      <c r="AA297" s="182"/>
      <c r="AB297" s="182"/>
    </row>
    <row r="298" spans="4:28" x14ac:dyDescent="0.25">
      <c r="D298"/>
      <c r="K298" s="101"/>
      <c r="M298"/>
      <c r="R298" s="185"/>
      <c r="S298" s="185"/>
      <c r="T298" s="182"/>
      <c r="U298" s="494"/>
      <c r="V298" s="494"/>
      <c r="W298" s="494"/>
      <c r="X298" s="182"/>
      <c r="Y298" s="182"/>
      <c r="Z298" s="182"/>
      <c r="AA298" s="182"/>
      <c r="AB298" s="182"/>
    </row>
    <row r="299" spans="4:28" x14ac:dyDescent="0.25">
      <c r="D299"/>
      <c r="K299" s="101"/>
      <c r="M299"/>
      <c r="R299" s="185"/>
      <c r="S299" s="185"/>
      <c r="T299" s="182"/>
      <c r="U299" s="494"/>
      <c r="V299" s="494"/>
      <c r="W299" s="494"/>
      <c r="X299" s="182"/>
      <c r="Y299" s="182"/>
      <c r="Z299" s="182"/>
      <c r="AA299" s="182"/>
      <c r="AB299" s="182"/>
    </row>
    <row r="300" spans="4:28" x14ac:dyDescent="0.25">
      <c r="D300"/>
      <c r="K300" s="101"/>
      <c r="M300"/>
      <c r="R300" s="185"/>
      <c r="S300" s="185"/>
      <c r="T300" s="182"/>
      <c r="U300" s="494"/>
      <c r="V300" s="494"/>
      <c r="W300" s="494"/>
      <c r="X300" s="182"/>
      <c r="Y300" s="182"/>
      <c r="Z300" s="182"/>
      <c r="AA300" s="182"/>
      <c r="AB300" s="182"/>
    </row>
    <row r="301" spans="4:28" x14ac:dyDescent="0.25">
      <c r="D301"/>
      <c r="K301" s="101"/>
      <c r="M301"/>
      <c r="R301" s="185"/>
      <c r="S301" s="185"/>
      <c r="T301" s="182"/>
      <c r="U301" s="494"/>
      <c r="V301" s="494"/>
      <c r="W301" s="494"/>
      <c r="X301" s="182"/>
      <c r="Y301" s="182"/>
      <c r="Z301" s="182"/>
      <c r="AA301" s="182"/>
      <c r="AB301" s="182"/>
    </row>
    <row r="302" spans="4:28" x14ac:dyDescent="0.25">
      <c r="D302"/>
      <c r="K302" s="101"/>
      <c r="M302"/>
      <c r="R302" s="185"/>
      <c r="S302" s="185"/>
      <c r="T302" s="182"/>
      <c r="U302" s="494"/>
      <c r="V302" s="494"/>
      <c r="W302" s="494"/>
      <c r="X302" s="182"/>
      <c r="Y302" s="182"/>
      <c r="Z302" s="182"/>
      <c r="AA302" s="182"/>
      <c r="AB302" s="182"/>
    </row>
    <row r="303" spans="4:28" x14ac:dyDescent="0.25">
      <c r="D303"/>
      <c r="K303" s="101"/>
      <c r="M303"/>
      <c r="R303" s="185"/>
      <c r="S303" s="185"/>
      <c r="T303" s="182"/>
      <c r="U303" s="494"/>
      <c r="V303" s="494"/>
      <c r="W303" s="494"/>
      <c r="X303" s="182"/>
      <c r="Y303" s="182"/>
      <c r="Z303" s="182"/>
      <c r="AA303" s="182"/>
      <c r="AB303" s="182"/>
    </row>
    <row r="304" spans="4:28" x14ac:dyDescent="0.25">
      <c r="D304"/>
      <c r="K304" s="101"/>
      <c r="M304"/>
      <c r="R304" s="185"/>
      <c r="S304" s="185"/>
      <c r="T304" s="182"/>
      <c r="U304" s="494"/>
      <c r="V304" s="494"/>
      <c r="W304" s="494"/>
      <c r="X304" s="182"/>
      <c r="Y304" s="182"/>
      <c r="Z304" s="182"/>
      <c r="AA304" s="182"/>
      <c r="AB304" s="182"/>
    </row>
    <row r="305" spans="4:28" x14ac:dyDescent="0.25">
      <c r="D305"/>
      <c r="K305" s="101"/>
      <c r="M305"/>
      <c r="R305" s="185"/>
      <c r="S305" s="185"/>
      <c r="T305" s="182"/>
      <c r="U305" s="494"/>
      <c r="V305" s="494"/>
      <c r="W305" s="494"/>
      <c r="X305" s="182"/>
      <c r="Y305" s="182"/>
      <c r="Z305" s="182"/>
      <c r="AA305" s="182"/>
      <c r="AB305" s="182"/>
    </row>
    <row r="306" spans="4:28" x14ac:dyDescent="0.25">
      <c r="D306"/>
      <c r="K306" s="101"/>
      <c r="M306"/>
      <c r="R306" s="185"/>
      <c r="S306" s="185"/>
      <c r="T306" s="182"/>
      <c r="U306" s="494"/>
      <c r="V306" s="494"/>
      <c r="W306" s="494"/>
      <c r="X306" s="182"/>
      <c r="Y306" s="182"/>
      <c r="Z306" s="182"/>
      <c r="AA306" s="182"/>
      <c r="AB306" s="182"/>
    </row>
    <row r="307" spans="4:28" x14ac:dyDescent="0.25">
      <c r="D307"/>
      <c r="K307" s="101"/>
      <c r="M307"/>
      <c r="R307" s="185"/>
      <c r="S307" s="185"/>
      <c r="T307" s="182"/>
      <c r="U307" s="494"/>
      <c r="V307" s="494"/>
      <c r="W307" s="494"/>
      <c r="X307" s="182"/>
      <c r="Y307" s="182"/>
      <c r="Z307" s="182"/>
      <c r="AA307" s="182"/>
      <c r="AB307" s="182"/>
    </row>
    <row r="308" spans="4:28" x14ac:dyDescent="0.25">
      <c r="D308"/>
      <c r="K308" s="101"/>
      <c r="M308"/>
      <c r="R308" s="185"/>
      <c r="S308" s="185"/>
      <c r="T308" s="182"/>
      <c r="U308" s="494"/>
      <c r="V308" s="494"/>
      <c r="W308" s="494"/>
      <c r="X308" s="182"/>
      <c r="Y308" s="182"/>
      <c r="Z308" s="182"/>
      <c r="AA308" s="182"/>
      <c r="AB308" s="182"/>
    </row>
    <row r="309" spans="4:28" x14ac:dyDescent="0.25">
      <c r="D309"/>
      <c r="K309" s="101"/>
      <c r="M309"/>
      <c r="R309" s="185"/>
      <c r="S309" s="185"/>
      <c r="T309" s="182"/>
      <c r="U309" s="494"/>
      <c r="V309" s="494"/>
      <c r="W309" s="494"/>
      <c r="X309" s="182"/>
      <c r="Y309" s="182"/>
      <c r="Z309" s="182"/>
      <c r="AA309" s="182"/>
      <c r="AB309" s="182"/>
    </row>
    <row r="310" spans="4:28" x14ac:dyDescent="0.25">
      <c r="D310"/>
      <c r="K310" s="101"/>
      <c r="M310"/>
      <c r="R310" s="185"/>
      <c r="S310" s="185"/>
      <c r="T310" s="182"/>
      <c r="U310" s="494"/>
      <c r="V310" s="494"/>
      <c r="W310" s="494"/>
      <c r="X310" s="182"/>
      <c r="Y310" s="182"/>
      <c r="Z310" s="182"/>
      <c r="AA310" s="182"/>
      <c r="AB310" s="182"/>
    </row>
    <row r="311" spans="4:28" x14ac:dyDescent="0.25">
      <c r="D311"/>
      <c r="K311" s="101"/>
      <c r="M311"/>
      <c r="R311" s="185"/>
      <c r="S311" s="185"/>
      <c r="T311" s="182"/>
      <c r="U311" s="494"/>
      <c r="V311" s="494"/>
      <c r="W311" s="494"/>
      <c r="X311" s="182"/>
      <c r="Y311" s="182"/>
      <c r="Z311" s="182"/>
      <c r="AA311" s="182"/>
      <c r="AB311" s="182"/>
    </row>
    <row r="312" spans="4:28" x14ac:dyDescent="0.25">
      <c r="D312"/>
      <c r="K312" s="101"/>
      <c r="M312"/>
      <c r="R312" s="185"/>
      <c r="S312" s="185"/>
      <c r="T312" s="182"/>
      <c r="U312" s="494"/>
      <c r="V312" s="494"/>
      <c r="W312" s="494"/>
      <c r="X312" s="182"/>
      <c r="Y312" s="182"/>
      <c r="Z312" s="182"/>
      <c r="AA312" s="182"/>
      <c r="AB312" s="182"/>
    </row>
    <row r="313" spans="4:28" x14ac:dyDescent="0.25">
      <c r="D313"/>
      <c r="K313" s="101"/>
      <c r="M313"/>
      <c r="R313" s="185"/>
      <c r="S313" s="185"/>
      <c r="T313" s="182"/>
      <c r="U313" s="494"/>
      <c r="V313" s="494"/>
      <c r="W313" s="494"/>
      <c r="X313" s="182"/>
      <c r="Y313" s="182"/>
      <c r="Z313" s="182"/>
      <c r="AA313" s="182"/>
      <c r="AB313" s="182"/>
    </row>
    <row r="314" spans="4:28" x14ac:dyDescent="0.25">
      <c r="D314"/>
      <c r="K314" s="101"/>
      <c r="M314"/>
      <c r="R314" s="185"/>
      <c r="S314" s="185"/>
      <c r="T314" s="182"/>
      <c r="U314" s="494"/>
      <c r="V314" s="494"/>
      <c r="W314" s="494"/>
      <c r="X314" s="182"/>
      <c r="Y314" s="182"/>
      <c r="Z314" s="182"/>
      <c r="AA314" s="182"/>
      <c r="AB314" s="182"/>
    </row>
    <row r="315" spans="4:28" x14ac:dyDescent="0.25">
      <c r="D315"/>
      <c r="K315" s="101"/>
      <c r="M315"/>
      <c r="R315" s="185"/>
      <c r="S315" s="185"/>
      <c r="T315" s="182"/>
      <c r="U315" s="494"/>
      <c r="V315" s="494"/>
      <c r="W315" s="494"/>
      <c r="X315" s="182"/>
      <c r="Y315" s="182"/>
      <c r="Z315" s="182"/>
      <c r="AA315" s="182"/>
      <c r="AB315" s="182"/>
    </row>
    <row r="316" spans="4:28" x14ac:dyDescent="0.25">
      <c r="D316"/>
      <c r="K316" s="101"/>
      <c r="M316"/>
      <c r="R316" s="185"/>
      <c r="S316" s="185"/>
      <c r="T316" s="182"/>
      <c r="U316" s="494"/>
      <c r="V316" s="494"/>
      <c r="W316" s="494"/>
      <c r="X316" s="182"/>
      <c r="Y316" s="182"/>
      <c r="Z316" s="182"/>
      <c r="AA316" s="182"/>
      <c r="AB316" s="182"/>
    </row>
    <row r="317" spans="4:28" x14ac:dyDescent="0.25">
      <c r="D317"/>
      <c r="K317" s="101"/>
      <c r="M317"/>
      <c r="R317" s="185"/>
      <c r="S317" s="185"/>
      <c r="T317" s="182"/>
      <c r="U317" s="494"/>
      <c r="V317" s="494"/>
      <c r="W317" s="494"/>
      <c r="X317" s="182"/>
      <c r="Y317" s="182"/>
      <c r="Z317" s="182"/>
      <c r="AA317" s="182"/>
      <c r="AB317" s="182"/>
    </row>
    <row r="318" spans="4:28" x14ac:dyDescent="0.25">
      <c r="D318"/>
      <c r="K318" s="101"/>
      <c r="M318"/>
      <c r="R318" s="185"/>
      <c r="S318" s="185"/>
      <c r="T318" s="182"/>
      <c r="U318" s="494"/>
      <c r="V318" s="494"/>
      <c r="W318" s="494"/>
      <c r="X318" s="182"/>
      <c r="Y318" s="182"/>
      <c r="Z318" s="182"/>
      <c r="AA318" s="182"/>
      <c r="AB318" s="182"/>
    </row>
    <row r="319" spans="4:28" x14ac:dyDescent="0.25">
      <c r="D319"/>
      <c r="K319" s="101"/>
      <c r="M319"/>
      <c r="R319" s="185"/>
      <c r="S319" s="185"/>
      <c r="T319" s="182"/>
      <c r="U319" s="494"/>
      <c r="V319" s="494"/>
      <c r="W319" s="494"/>
      <c r="X319" s="182"/>
      <c r="Y319" s="182"/>
      <c r="Z319" s="182"/>
      <c r="AA319" s="182"/>
      <c r="AB319" s="182"/>
    </row>
    <row r="320" spans="4:28" x14ac:dyDescent="0.25">
      <c r="D320"/>
      <c r="K320" s="101"/>
      <c r="M320"/>
      <c r="R320" s="185"/>
      <c r="S320" s="185"/>
      <c r="T320" s="182"/>
      <c r="U320" s="494"/>
      <c r="V320" s="494"/>
      <c r="W320" s="494"/>
      <c r="X320" s="182"/>
      <c r="Y320" s="182"/>
      <c r="Z320" s="182"/>
      <c r="AA320" s="182"/>
      <c r="AB320" s="182"/>
    </row>
    <row r="321" spans="4:28" x14ac:dyDescent="0.25">
      <c r="D321"/>
      <c r="K321" s="101"/>
      <c r="M321"/>
      <c r="R321" s="185"/>
      <c r="S321" s="185"/>
      <c r="T321" s="182"/>
      <c r="U321" s="494"/>
      <c r="V321" s="494"/>
      <c r="W321" s="494"/>
      <c r="X321" s="182"/>
      <c r="Y321" s="182"/>
      <c r="Z321" s="182"/>
      <c r="AA321" s="182"/>
      <c r="AB321" s="182"/>
    </row>
    <row r="322" spans="4:28" x14ac:dyDescent="0.25">
      <c r="D322"/>
      <c r="K322" s="101"/>
      <c r="M322"/>
      <c r="R322" s="185"/>
      <c r="S322" s="185"/>
      <c r="T322" s="182"/>
      <c r="U322" s="494"/>
      <c r="V322" s="494"/>
      <c r="W322" s="494"/>
      <c r="X322" s="182"/>
      <c r="Y322" s="182"/>
      <c r="Z322" s="182"/>
      <c r="AA322" s="182"/>
      <c r="AB322" s="182"/>
    </row>
    <row r="323" spans="4:28" x14ac:dyDescent="0.25">
      <c r="D323"/>
      <c r="K323" s="101"/>
      <c r="M323"/>
      <c r="R323" s="185"/>
      <c r="S323" s="185"/>
      <c r="T323" s="182"/>
      <c r="U323" s="494"/>
      <c r="V323" s="494"/>
      <c r="W323" s="494"/>
      <c r="X323" s="182"/>
      <c r="Y323" s="182"/>
      <c r="Z323" s="182"/>
      <c r="AA323" s="182"/>
      <c r="AB323" s="182"/>
    </row>
    <row r="324" spans="4:28" x14ac:dyDescent="0.25">
      <c r="D324"/>
      <c r="K324" s="101"/>
      <c r="M324"/>
      <c r="R324" s="185"/>
      <c r="S324" s="185"/>
      <c r="T324" s="182"/>
      <c r="U324" s="494"/>
      <c r="V324" s="494"/>
      <c r="W324" s="494"/>
      <c r="X324" s="182"/>
      <c r="Y324" s="182"/>
      <c r="Z324" s="182"/>
      <c r="AA324" s="182"/>
      <c r="AB324" s="182"/>
    </row>
    <row r="325" spans="4:28" x14ac:dyDescent="0.25">
      <c r="D325"/>
      <c r="K325" s="101"/>
      <c r="M325"/>
      <c r="R325" s="185"/>
      <c r="S325" s="185"/>
      <c r="T325" s="182"/>
      <c r="U325" s="494"/>
      <c r="V325" s="494"/>
      <c r="W325" s="494"/>
      <c r="X325" s="182"/>
      <c r="Y325" s="182"/>
      <c r="Z325" s="182"/>
      <c r="AA325" s="182"/>
      <c r="AB325" s="182"/>
    </row>
    <row r="326" spans="4:28" x14ac:dyDescent="0.25">
      <c r="D326"/>
      <c r="K326" s="101"/>
      <c r="M326"/>
      <c r="R326" s="185"/>
      <c r="S326" s="185"/>
      <c r="T326" s="182"/>
      <c r="U326" s="494"/>
      <c r="V326" s="494"/>
      <c r="W326" s="494"/>
      <c r="X326" s="182"/>
      <c r="Y326" s="182"/>
      <c r="Z326" s="182"/>
      <c r="AA326" s="182"/>
      <c r="AB326" s="182"/>
    </row>
    <row r="327" spans="4:28" x14ac:dyDescent="0.25">
      <c r="D327"/>
      <c r="K327" s="101"/>
      <c r="M327"/>
      <c r="R327" s="185"/>
      <c r="S327" s="185"/>
      <c r="T327" s="182"/>
      <c r="U327" s="494"/>
      <c r="V327" s="494"/>
      <c r="W327" s="494"/>
      <c r="X327" s="182"/>
      <c r="Y327" s="182"/>
      <c r="Z327" s="182"/>
      <c r="AA327" s="182"/>
      <c r="AB327" s="182"/>
    </row>
    <row r="328" spans="4:28" x14ac:dyDescent="0.25">
      <c r="D328"/>
      <c r="K328" s="101"/>
      <c r="M328"/>
      <c r="R328" s="185"/>
      <c r="S328" s="185"/>
      <c r="T328" s="182"/>
      <c r="U328" s="494"/>
      <c r="V328" s="494"/>
      <c r="W328" s="494"/>
      <c r="X328" s="182"/>
      <c r="Y328" s="182"/>
      <c r="Z328" s="182"/>
      <c r="AA328" s="182"/>
      <c r="AB328" s="182"/>
    </row>
    <row r="329" spans="4:28" x14ac:dyDescent="0.25">
      <c r="D329"/>
      <c r="K329" s="101"/>
      <c r="M329"/>
      <c r="R329" s="185"/>
      <c r="S329" s="185"/>
      <c r="T329" s="182"/>
      <c r="U329" s="494"/>
      <c r="V329" s="494"/>
      <c r="W329" s="494"/>
      <c r="X329" s="182"/>
      <c r="Y329" s="182"/>
      <c r="Z329" s="182"/>
      <c r="AA329" s="182"/>
      <c r="AB329" s="182"/>
    </row>
    <row r="330" spans="4:28" x14ac:dyDescent="0.25">
      <c r="D330"/>
      <c r="K330" s="101"/>
      <c r="M330"/>
      <c r="R330" s="185"/>
      <c r="S330" s="185"/>
      <c r="T330" s="182"/>
      <c r="U330" s="494"/>
      <c r="V330" s="494"/>
      <c r="W330" s="494"/>
      <c r="X330" s="182"/>
      <c r="Y330" s="182"/>
      <c r="Z330" s="182"/>
      <c r="AA330" s="182"/>
      <c r="AB330" s="182"/>
    </row>
    <row r="331" spans="4:28" x14ac:dyDescent="0.25">
      <c r="D331"/>
      <c r="K331" s="101"/>
      <c r="M331"/>
      <c r="R331" s="185"/>
      <c r="S331" s="185"/>
      <c r="T331" s="182"/>
      <c r="U331" s="494"/>
      <c r="V331" s="494"/>
      <c r="W331" s="494"/>
      <c r="X331" s="182"/>
      <c r="Y331" s="182"/>
      <c r="Z331" s="182"/>
      <c r="AA331" s="182"/>
      <c r="AB331" s="182"/>
    </row>
    <row r="332" spans="4:28" x14ac:dyDescent="0.25">
      <c r="D332"/>
      <c r="K332" s="101"/>
      <c r="M332"/>
      <c r="R332" s="185"/>
      <c r="S332" s="185"/>
      <c r="T332" s="182"/>
      <c r="U332" s="494"/>
      <c r="V332" s="494"/>
      <c r="W332" s="494"/>
      <c r="X332" s="182"/>
      <c r="Y332" s="182"/>
      <c r="Z332" s="182"/>
      <c r="AA332" s="182"/>
      <c r="AB332" s="182"/>
    </row>
    <row r="333" spans="4:28" x14ac:dyDescent="0.25">
      <c r="D333"/>
      <c r="K333" s="101"/>
      <c r="M333"/>
      <c r="R333" s="185"/>
      <c r="S333" s="185"/>
      <c r="T333" s="182"/>
      <c r="U333" s="494"/>
      <c r="V333" s="494"/>
      <c r="W333" s="494"/>
      <c r="X333" s="182"/>
      <c r="Y333" s="182"/>
      <c r="Z333" s="182"/>
      <c r="AA333" s="182"/>
      <c r="AB333" s="182"/>
    </row>
    <row r="334" spans="4:28" x14ac:dyDescent="0.25">
      <c r="D334"/>
      <c r="K334" s="101"/>
      <c r="M334"/>
      <c r="R334" s="185"/>
      <c r="S334" s="185"/>
      <c r="T334" s="182"/>
      <c r="U334" s="494"/>
      <c r="V334" s="494"/>
      <c r="W334" s="494"/>
      <c r="X334" s="182"/>
      <c r="Y334" s="182"/>
      <c r="Z334" s="182"/>
      <c r="AA334" s="182"/>
      <c r="AB334" s="182"/>
    </row>
    <row r="335" spans="4:28" x14ac:dyDescent="0.25">
      <c r="D335"/>
      <c r="K335" s="101"/>
      <c r="M335"/>
      <c r="R335" s="185"/>
      <c r="S335" s="185"/>
      <c r="T335" s="182"/>
      <c r="U335" s="494"/>
      <c r="V335" s="494"/>
      <c r="W335" s="494"/>
      <c r="X335" s="182"/>
      <c r="Y335" s="182"/>
      <c r="Z335" s="182"/>
      <c r="AA335" s="182"/>
      <c r="AB335" s="182"/>
    </row>
    <row r="336" spans="4:28" x14ac:dyDescent="0.25">
      <c r="D336"/>
      <c r="K336" s="101"/>
      <c r="M336"/>
      <c r="R336" s="185"/>
      <c r="S336" s="185"/>
      <c r="T336" s="182"/>
      <c r="U336" s="494"/>
      <c r="V336" s="494"/>
      <c r="W336" s="494"/>
      <c r="X336" s="182"/>
      <c r="Y336" s="182"/>
      <c r="Z336" s="182"/>
      <c r="AA336" s="182"/>
      <c r="AB336" s="182"/>
    </row>
    <row r="337" spans="4:28" x14ac:dyDescent="0.25">
      <c r="D337"/>
      <c r="K337" s="101"/>
      <c r="M337"/>
      <c r="R337" s="185"/>
      <c r="S337" s="185"/>
      <c r="T337" s="182"/>
      <c r="U337" s="494"/>
      <c r="V337" s="494"/>
      <c r="W337" s="494"/>
      <c r="X337" s="182"/>
      <c r="Y337" s="182"/>
      <c r="Z337" s="182"/>
      <c r="AA337" s="182"/>
      <c r="AB337" s="182"/>
    </row>
    <row r="338" spans="4:28" x14ac:dyDescent="0.25">
      <c r="D338"/>
      <c r="K338" s="101"/>
      <c r="M338"/>
      <c r="R338" s="185"/>
      <c r="S338" s="185"/>
      <c r="T338" s="182"/>
      <c r="U338" s="494"/>
      <c r="V338" s="494"/>
      <c r="W338" s="494"/>
      <c r="X338" s="182"/>
      <c r="Y338" s="182"/>
      <c r="Z338" s="182"/>
      <c r="AA338" s="182"/>
      <c r="AB338" s="182"/>
    </row>
    <row r="339" spans="4:28" x14ac:dyDescent="0.25">
      <c r="D339"/>
      <c r="K339" s="101"/>
      <c r="M339"/>
      <c r="R339" s="185"/>
      <c r="S339" s="185"/>
      <c r="T339" s="182"/>
      <c r="U339" s="494"/>
      <c r="V339" s="494"/>
      <c r="W339" s="494"/>
      <c r="X339" s="182"/>
      <c r="Y339" s="182"/>
      <c r="Z339" s="182"/>
      <c r="AA339" s="182"/>
      <c r="AB339" s="182"/>
    </row>
    <row r="340" spans="4:28" x14ac:dyDescent="0.25">
      <c r="D340"/>
      <c r="K340" s="101"/>
      <c r="M340"/>
      <c r="R340" s="185"/>
      <c r="S340" s="185"/>
      <c r="T340" s="182"/>
      <c r="U340" s="494"/>
      <c r="V340" s="494"/>
      <c r="W340" s="494"/>
      <c r="X340" s="182"/>
      <c r="Y340" s="182"/>
      <c r="Z340" s="182"/>
      <c r="AA340" s="182"/>
      <c r="AB340" s="182"/>
    </row>
    <row r="341" spans="4:28" x14ac:dyDescent="0.25">
      <c r="D341"/>
      <c r="K341" s="101"/>
      <c r="M341"/>
      <c r="R341" s="185"/>
      <c r="S341" s="185"/>
      <c r="T341" s="182"/>
      <c r="U341" s="494"/>
      <c r="V341" s="494"/>
      <c r="W341" s="494"/>
      <c r="X341" s="182"/>
      <c r="Y341" s="182"/>
      <c r="Z341" s="182"/>
      <c r="AA341" s="182"/>
      <c r="AB341" s="182"/>
    </row>
    <row r="342" spans="4:28" x14ac:dyDescent="0.25">
      <c r="D342"/>
      <c r="K342" s="101"/>
      <c r="M342"/>
      <c r="R342" s="185"/>
      <c r="S342" s="185"/>
      <c r="T342" s="182"/>
      <c r="U342" s="494"/>
      <c r="V342" s="494"/>
      <c r="W342" s="494"/>
      <c r="X342" s="182"/>
      <c r="Y342" s="182"/>
      <c r="Z342" s="182"/>
      <c r="AA342" s="182"/>
      <c r="AB342" s="182"/>
    </row>
    <row r="343" spans="4:28" x14ac:dyDescent="0.25">
      <c r="D343"/>
      <c r="K343" s="101"/>
      <c r="M343"/>
      <c r="R343" s="185"/>
      <c r="S343" s="185"/>
      <c r="T343" s="182"/>
      <c r="U343" s="494"/>
      <c r="V343" s="494"/>
      <c r="W343" s="494"/>
      <c r="X343" s="182"/>
      <c r="Y343" s="182"/>
      <c r="Z343" s="182"/>
      <c r="AA343" s="182"/>
      <c r="AB343" s="182"/>
    </row>
    <row r="344" spans="4:28" x14ac:dyDescent="0.25">
      <c r="D344"/>
      <c r="K344" s="101"/>
      <c r="M344"/>
      <c r="R344" s="185"/>
      <c r="S344" s="185"/>
      <c r="T344" s="182"/>
      <c r="U344" s="494"/>
      <c r="V344" s="494"/>
      <c r="W344" s="494"/>
      <c r="X344" s="182"/>
      <c r="Y344" s="182"/>
      <c r="Z344" s="182"/>
      <c r="AA344" s="182"/>
      <c r="AB344" s="182"/>
    </row>
    <row r="345" spans="4:28" x14ac:dyDescent="0.25">
      <c r="D345"/>
      <c r="K345" s="101"/>
      <c r="M345"/>
      <c r="R345" s="185"/>
      <c r="S345" s="185"/>
      <c r="T345" s="182"/>
      <c r="U345" s="494"/>
      <c r="V345" s="494"/>
      <c r="W345" s="494"/>
      <c r="X345" s="182"/>
      <c r="Y345" s="182"/>
      <c r="Z345" s="182"/>
      <c r="AA345" s="182"/>
      <c r="AB345" s="182"/>
    </row>
    <row r="346" spans="4:28" x14ac:dyDescent="0.25">
      <c r="D346"/>
      <c r="K346" s="101"/>
      <c r="M346"/>
      <c r="R346" s="185"/>
      <c r="S346" s="185"/>
      <c r="T346" s="182"/>
      <c r="U346" s="494"/>
      <c r="V346" s="494"/>
      <c r="W346" s="494"/>
      <c r="X346" s="182"/>
      <c r="Y346" s="182"/>
      <c r="Z346" s="182"/>
      <c r="AA346" s="182"/>
      <c r="AB346" s="182"/>
    </row>
    <row r="347" spans="4:28" x14ac:dyDescent="0.25">
      <c r="D347"/>
      <c r="K347" s="101"/>
      <c r="M347"/>
      <c r="R347" s="185"/>
      <c r="S347" s="185"/>
      <c r="T347" s="182"/>
      <c r="U347" s="494"/>
      <c r="V347" s="494"/>
      <c r="W347" s="494"/>
      <c r="X347" s="182"/>
      <c r="Y347" s="182"/>
      <c r="Z347" s="182"/>
      <c r="AA347" s="182"/>
      <c r="AB347" s="182"/>
    </row>
    <row r="348" spans="4:28" x14ac:dyDescent="0.25">
      <c r="D348"/>
      <c r="K348" s="101"/>
      <c r="M348"/>
      <c r="R348" s="185"/>
      <c r="S348" s="185"/>
      <c r="T348" s="182"/>
      <c r="U348" s="494"/>
      <c r="V348" s="494"/>
      <c r="W348" s="494"/>
      <c r="X348" s="182"/>
      <c r="Y348" s="182"/>
      <c r="Z348" s="182"/>
      <c r="AA348" s="182"/>
      <c r="AB348" s="182"/>
    </row>
    <row r="349" spans="4:28" x14ac:dyDescent="0.25">
      <c r="D349"/>
      <c r="K349" s="101"/>
      <c r="M349"/>
      <c r="R349" s="185"/>
      <c r="S349" s="185"/>
      <c r="T349" s="182"/>
      <c r="U349" s="494"/>
      <c r="V349" s="494"/>
      <c r="W349" s="494"/>
      <c r="X349" s="182"/>
      <c r="Y349" s="182"/>
      <c r="Z349" s="182"/>
      <c r="AA349" s="182"/>
      <c r="AB349" s="182"/>
    </row>
    <row r="350" spans="4:28" x14ac:dyDescent="0.25">
      <c r="D350"/>
      <c r="K350" s="101"/>
      <c r="M350"/>
      <c r="R350" s="185"/>
      <c r="S350" s="185"/>
      <c r="T350" s="182"/>
      <c r="U350" s="494"/>
      <c r="V350" s="494"/>
      <c r="W350" s="494"/>
      <c r="X350" s="182"/>
      <c r="Y350" s="182"/>
      <c r="Z350" s="182"/>
      <c r="AA350" s="182"/>
      <c r="AB350" s="182"/>
    </row>
    <row r="351" spans="4:28" x14ac:dyDescent="0.25">
      <c r="D351"/>
      <c r="K351" s="101"/>
      <c r="M351"/>
      <c r="R351" s="185"/>
      <c r="S351" s="185"/>
      <c r="T351" s="182"/>
      <c r="U351" s="494"/>
      <c r="V351" s="494"/>
      <c r="W351" s="494"/>
      <c r="X351" s="182"/>
      <c r="Y351" s="182"/>
      <c r="Z351" s="182"/>
      <c r="AA351" s="182"/>
      <c r="AB351" s="182"/>
    </row>
    <row r="352" spans="4:28" x14ac:dyDescent="0.25">
      <c r="D352"/>
      <c r="K352" s="101"/>
      <c r="M352"/>
      <c r="R352" s="185"/>
      <c r="S352" s="185"/>
      <c r="T352" s="182"/>
      <c r="U352" s="494"/>
      <c r="V352" s="494"/>
      <c r="W352" s="494"/>
      <c r="X352" s="182"/>
      <c r="Y352" s="182"/>
      <c r="Z352" s="182"/>
      <c r="AA352" s="182"/>
      <c r="AB352" s="182"/>
    </row>
    <row r="353" spans="4:28" x14ac:dyDescent="0.25">
      <c r="D353"/>
      <c r="K353" s="101"/>
      <c r="M353"/>
      <c r="R353" s="185"/>
      <c r="S353" s="185"/>
      <c r="T353" s="182"/>
      <c r="U353" s="494"/>
      <c r="V353" s="494"/>
      <c r="W353" s="494"/>
      <c r="X353" s="182"/>
      <c r="Y353" s="182"/>
      <c r="Z353" s="182"/>
      <c r="AA353" s="182"/>
      <c r="AB353" s="182"/>
    </row>
    <row r="354" spans="4:28" x14ac:dyDescent="0.25">
      <c r="D354"/>
      <c r="K354" s="101"/>
      <c r="M354"/>
      <c r="R354" s="185"/>
      <c r="S354" s="185"/>
      <c r="T354" s="182"/>
      <c r="U354" s="494"/>
      <c r="V354" s="494"/>
      <c r="W354" s="494"/>
      <c r="X354" s="182"/>
      <c r="Y354" s="182"/>
      <c r="Z354" s="182"/>
      <c r="AA354" s="182"/>
      <c r="AB354" s="182"/>
    </row>
    <row r="355" spans="4:28" x14ac:dyDescent="0.25">
      <c r="D355"/>
      <c r="K355" s="101"/>
      <c r="M355"/>
      <c r="R355" s="185"/>
      <c r="S355" s="185"/>
      <c r="T355" s="182"/>
      <c r="U355" s="494"/>
      <c r="V355" s="494"/>
      <c r="W355" s="494"/>
      <c r="X355" s="182"/>
      <c r="Y355" s="182"/>
      <c r="Z355" s="182"/>
      <c r="AA355" s="182"/>
      <c r="AB355" s="182"/>
    </row>
    <row r="356" spans="4:28" x14ac:dyDescent="0.25">
      <c r="D356"/>
      <c r="K356" s="101"/>
      <c r="M356"/>
      <c r="R356" s="185"/>
      <c r="S356" s="185"/>
      <c r="T356" s="182"/>
      <c r="U356" s="494"/>
      <c r="V356" s="494"/>
      <c r="W356" s="494"/>
      <c r="X356" s="182"/>
      <c r="Y356" s="182"/>
      <c r="Z356" s="182"/>
      <c r="AA356" s="182"/>
      <c r="AB356" s="182"/>
    </row>
    <row r="357" spans="4:28" x14ac:dyDescent="0.25">
      <c r="D357"/>
      <c r="K357" s="101"/>
      <c r="M357"/>
      <c r="R357" s="185"/>
      <c r="S357" s="185"/>
      <c r="T357" s="182"/>
      <c r="U357" s="494"/>
      <c r="V357" s="494"/>
      <c r="W357" s="494"/>
      <c r="X357" s="182"/>
      <c r="Y357" s="182"/>
      <c r="Z357" s="182"/>
      <c r="AA357" s="182"/>
      <c r="AB357" s="182"/>
    </row>
    <row r="358" spans="4:28" x14ac:dyDescent="0.25">
      <c r="D358"/>
      <c r="K358" s="101"/>
      <c r="M358"/>
      <c r="R358" s="185"/>
      <c r="S358" s="185"/>
      <c r="T358" s="182"/>
      <c r="U358" s="494"/>
      <c r="V358" s="494"/>
      <c r="W358" s="494"/>
      <c r="X358" s="182"/>
      <c r="Y358" s="182"/>
      <c r="Z358" s="182"/>
      <c r="AA358" s="182"/>
      <c r="AB358" s="182"/>
    </row>
    <row r="359" spans="4:28" x14ac:dyDescent="0.25">
      <c r="D359"/>
      <c r="K359" s="101"/>
      <c r="M359"/>
      <c r="R359" s="185"/>
      <c r="S359" s="185"/>
      <c r="T359" s="182"/>
      <c r="U359" s="494"/>
      <c r="V359" s="494"/>
      <c r="W359" s="494"/>
      <c r="X359" s="182"/>
      <c r="Y359" s="182"/>
      <c r="Z359" s="182"/>
      <c r="AA359" s="182"/>
      <c r="AB359" s="182"/>
    </row>
    <row r="360" spans="4:28" x14ac:dyDescent="0.25">
      <c r="D360"/>
      <c r="K360" s="101"/>
      <c r="M360"/>
      <c r="R360" s="185"/>
      <c r="S360" s="185"/>
      <c r="T360" s="182"/>
      <c r="U360" s="494"/>
      <c r="V360" s="494"/>
      <c r="W360" s="494"/>
      <c r="X360" s="182"/>
      <c r="Y360" s="182"/>
      <c r="Z360" s="182"/>
      <c r="AA360" s="182"/>
      <c r="AB360" s="182"/>
    </row>
    <row r="361" spans="4:28" x14ac:dyDescent="0.25">
      <c r="D361"/>
      <c r="K361" s="101"/>
      <c r="M361"/>
      <c r="R361" s="185"/>
      <c r="S361" s="185"/>
      <c r="T361" s="182"/>
      <c r="U361" s="494"/>
      <c r="V361" s="494"/>
      <c r="W361" s="494"/>
      <c r="X361" s="182"/>
      <c r="Y361" s="182"/>
      <c r="Z361" s="182"/>
      <c r="AA361" s="182"/>
      <c r="AB361" s="182"/>
    </row>
    <row r="362" spans="4:28" x14ac:dyDescent="0.25">
      <c r="D362"/>
      <c r="K362" s="101"/>
      <c r="M362"/>
      <c r="R362" s="185"/>
      <c r="S362" s="185"/>
      <c r="T362" s="182"/>
      <c r="U362" s="494"/>
      <c r="V362" s="494"/>
      <c r="W362" s="494"/>
      <c r="X362" s="182"/>
      <c r="Y362" s="182"/>
      <c r="Z362" s="182"/>
      <c r="AA362" s="182"/>
      <c r="AB362" s="182"/>
    </row>
    <row r="363" spans="4:28" x14ac:dyDescent="0.25">
      <c r="D363"/>
      <c r="K363" s="101"/>
      <c r="M363"/>
      <c r="R363" s="185"/>
      <c r="S363" s="185"/>
      <c r="T363" s="182"/>
      <c r="U363" s="494"/>
      <c r="V363" s="494"/>
      <c r="W363" s="494"/>
      <c r="X363" s="182"/>
      <c r="Y363" s="182"/>
      <c r="Z363" s="182"/>
      <c r="AA363" s="182"/>
      <c r="AB363" s="182"/>
    </row>
    <row r="364" spans="4:28" x14ac:dyDescent="0.25">
      <c r="D364"/>
      <c r="K364" s="101"/>
      <c r="M364"/>
      <c r="R364" s="185"/>
      <c r="S364" s="185"/>
      <c r="T364" s="182"/>
      <c r="U364" s="494"/>
      <c r="V364" s="494"/>
      <c r="W364" s="494"/>
      <c r="X364" s="182"/>
      <c r="Y364" s="182"/>
      <c r="Z364" s="182"/>
      <c r="AA364" s="182"/>
      <c r="AB364" s="182"/>
    </row>
    <row r="365" spans="4:28" x14ac:dyDescent="0.25">
      <c r="D365"/>
      <c r="K365" s="101"/>
      <c r="M365"/>
      <c r="R365" s="185"/>
      <c r="S365" s="185"/>
      <c r="T365" s="182"/>
      <c r="U365" s="494"/>
      <c r="V365" s="494"/>
      <c r="W365" s="494"/>
      <c r="X365" s="182"/>
      <c r="Y365" s="182"/>
      <c r="Z365" s="182"/>
      <c r="AA365" s="182"/>
      <c r="AB365" s="182"/>
    </row>
    <row r="366" spans="4:28" x14ac:dyDescent="0.25">
      <c r="D366"/>
      <c r="K366" s="101"/>
      <c r="M366"/>
      <c r="R366" s="185"/>
      <c r="S366" s="185"/>
      <c r="T366" s="182"/>
      <c r="U366" s="494"/>
      <c r="V366" s="494"/>
      <c r="W366" s="494"/>
      <c r="X366" s="182"/>
      <c r="Y366" s="182"/>
      <c r="Z366" s="182"/>
      <c r="AA366" s="182"/>
      <c r="AB366" s="182"/>
    </row>
    <row r="367" spans="4:28" x14ac:dyDescent="0.25">
      <c r="D367"/>
      <c r="K367" s="101"/>
      <c r="M367"/>
      <c r="R367" s="185"/>
      <c r="S367" s="185"/>
      <c r="T367" s="182"/>
      <c r="U367" s="494"/>
      <c r="V367" s="494"/>
      <c r="W367" s="494"/>
      <c r="X367" s="182"/>
      <c r="Y367" s="182"/>
      <c r="Z367" s="182"/>
      <c r="AA367" s="182"/>
      <c r="AB367" s="182"/>
    </row>
    <row r="368" spans="4:28" x14ac:dyDescent="0.25">
      <c r="D368"/>
      <c r="K368" s="101"/>
      <c r="M368"/>
      <c r="R368" s="185"/>
      <c r="S368" s="185"/>
      <c r="T368" s="182"/>
      <c r="U368" s="494"/>
      <c r="V368" s="494"/>
      <c r="W368" s="494"/>
      <c r="X368" s="182"/>
      <c r="Y368" s="182"/>
      <c r="Z368" s="182"/>
      <c r="AA368" s="182"/>
      <c r="AB368" s="182"/>
    </row>
    <row r="369" spans="4:28" x14ac:dyDescent="0.25">
      <c r="D369"/>
      <c r="K369" s="101"/>
      <c r="M369"/>
      <c r="R369" s="185"/>
      <c r="S369" s="185"/>
      <c r="T369" s="182"/>
      <c r="U369" s="494"/>
      <c r="V369" s="494"/>
      <c r="W369" s="494"/>
      <c r="X369" s="182"/>
      <c r="Y369" s="182"/>
      <c r="Z369" s="182"/>
      <c r="AA369" s="182"/>
      <c r="AB369" s="182"/>
    </row>
    <row r="370" spans="4:28" x14ac:dyDescent="0.25">
      <c r="D370"/>
      <c r="K370" s="101"/>
      <c r="M370"/>
      <c r="R370" s="185"/>
      <c r="S370" s="185"/>
      <c r="T370" s="182"/>
      <c r="U370" s="494"/>
      <c r="V370" s="494"/>
      <c r="W370" s="494"/>
      <c r="X370" s="182"/>
      <c r="Y370" s="182"/>
      <c r="Z370" s="182"/>
      <c r="AA370" s="182"/>
      <c r="AB370" s="182"/>
    </row>
    <row r="371" spans="4:28" x14ac:dyDescent="0.25">
      <c r="D371"/>
      <c r="K371" s="101"/>
      <c r="M371"/>
      <c r="R371" s="185"/>
      <c r="S371" s="185"/>
      <c r="T371" s="182"/>
      <c r="U371" s="494"/>
      <c r="V371" s="494"/>
      <c r="W371" s="494"/>
      <c r="X371" s="182"/>
      <c r="Y371" s="182"/>
      <c r="Z371" s="182"/>
      <c r="AA371" s="182"/>
      <c r="AB371" s="182"/>
    </row>
    <row r="372" spans="4:28" x14ac:dyDescent="0.25">
      <c r="D372"/>
      <c r="K372" s="101"/>
      <c r="M372"/>
      <c r="R372" s="185"/>
      <c r="S372" s="185"/>
      <c r="T372" s="182"/>
      <c r="U372" s="494"/>
      <c r="V372" s="494"/>
      <c r="W372" s="494"/>
      <c r="X372" s="182"/>
      <c r="Y372" s="182"/>
      <c r="Z372" s="182"/>
      <c r="AA372" s="182"/>
      <c r="AB372" s="182"/>
    </row>
    <row r="373" spans="4:28" x14ac:dyDescent="0.25">
      <c r="D373"/>
      <c r="K373" s="101"/>
      <c r="M373"/>
      <c r="R373" s="185"/>
      <c r="S373" s="185"/>
      <c r="T373" s="182"/>
      <c r="U373" s="494"/>
      <c r="V373" s="494"/>
      <c r="W373" s="494"/>
      <c r="X373" s="182"/>
      <c r="Y373" s="182"/>
      <c r="Z373" s="182"/>
      <c r="AA373" s="182"/>
      <c r="AB373" s="182"/>
    </row>
    <row r="374" spans="4:28" x14ac:dyDescent="0.25">
      <c r="D374"/>
      <c r="K374" s="101"/>
      <c r="M374"/>
      <c r="R374" s="185"/>
      <c r="S374" s="185"/>
      <c r="T374" s="182"/>
      <c r="U374" s="494"/>
      <c r="V374" s="494"/>
      <c r="W374" s="494"/>
      <c r="X374" s="182"/>
      <c r="Y374" s="182"/>
      <c r="Z374" s="182"/>
      <c r="AA374" s="182"/>
      <c r="AB374" s="182"/>
    </row>
    <row r="375" spans="4:28" x14ac:dyDescent="0.25">
      <c r="D375"/>
      <c r="K375" s="101"/>
      <c r="M375"/>
      <c r="R375" s="185"/>
      <c r="S375" s="185"/>
      <c r="T375" s="182"/>
      <c r="U375" s="494"/>
      <c r="V375" s="494"/>
      <c r="W375" s="494"/>
      <c r="X375" s="182"/>
      <c r="Y375" s="182"/>
      <c r="Z375" s="182"/>
      <c r="AA375" s="182"/>
      <c r="AB375" s="182"/>
    </row>
    <row r="376" spans="4:28" x14ac:dyDescent="0.25">
      <c r="D376"/>
      <c r="K376" s="101"/>
      <c r="M376"/>
      <c r="R376" s="185"/>
      <c r="S376" s="185"/>
      <c r="T376" s="182"/>
      <c r="U376" s="494"/>
      <c r="V376" s="494"/>
      <c r="W376" s="494"/>
      <c r="X376" s="182"/>
      <c r="Y376" s="182"/>
      <c r="Z376" s="182"/>
      <c r="AA376" s="182"/>
      <c r="AB376" s="182"/>
    </row>
    <row r="377" spans="4:28" x14ac:dyDescent="0.25">
      <c r="D377"/>
      <c r="K377" s="101"/>
      <c r="M377"/>
      <c r="R377" s="185"/>
      <c r="S377" s="185"/>
      <c r="T377" s="182"/>
      <c r="U377" s="494"/>
      <c r="V377" s="494"/>
      <c r="W377" s="494"/>
      <c r="X377" s="182"/>
      <c r="Y377" s="182"/>
      <c r="Z377" s="182"/>
      <c r="AA377" s="182"/>
      <c r="AB377" s="182"/>
    </row>
    <row r="378" spans="4:28" x14ac:dyDescent="0.25">
      <c r="D378"/>
      <c r="K378" s="101"/>
      <c r="M378"/>
      <c r="R378" s="185"/>
      <c r="S378" s="185"/>
      <c r="T378" s="182"/>
      <c r="U378" s="494"/>
      <c r="V378" s="494"/>
      <c r="W378" s="494"/>
      <c r="X378" s="182"/>
      <c r="Y378" s="182"/>
      <c r="Z378" s="182"/>
      <c r="AA378" s="182"/>
      <c r="AB378" s="182"/>
    </row>
    <row r="379" spans="4:28" x14ac:dyDescent="0.25">
      <c r="D379"/>
      <c r="K379" s="101"/>
      <c r="M379"/>
      <c r="R379" s="185"/>
      <c r="S379" s="185"/>
      <c r="T379" s="182"/>
      <c r="U379" s="494"/>
      <c r="V379" s="494"/>
      <c r="W379" s="494"/>
      <c r="X379" s="182"/>
      <c r="Y379" s="182"/>
      <c r="Z379" s="182"/>
      <c r="AA379" s="182"/>
      <c r="AB379" s="182"/>
    </row>
    <row r="380" spans="4:28" x14ac:dyDescent="0.25">
      <c r="D380"/>
      <c r="K380" s="101"/>
      <c r="M380"/>
      <c r="R380" s="185"/>
      <c r="S380" s="185"/>
      <c r="T380" s="182"/>
      <c r="U380" s="494"/>
      <c r="V380" s="494"/>
      <c r="W380" s="494"/>
      <c r="X380" s="182"/>
      <c r="Y380" s="182"/>
      <c r="Z380" s="182"/>
      <c r="AA380" s="182"/>
      <c r="AB380" s="182"/>
    </row>
    <row r="381" spans="4:28" x14ac:dyDescent="0.25">
      <c r="D381"/>
      <c r="K381" s="101"/>
      <c r="M381"/>
      <c r="R381" s="185"/>
      <c r="S381" s="185"/>
      <c r="T381" s="182"/>
      <c r="U381" s="494"/>
      <c r="V381" s="494"/>
      <c r="W381" s="494"/>
      <c r="X381" s="182"/>
      <c r="Y381" s="182"/>
      <c r="Z381" s="182"/>
      <c r="AA381" s="182"/>
      <c r="AB381" s="182"/>
    </row>
    <row r="382" spans="4:28" x14ac:dyDescent="0.25">
      <c r="D382"/>
      <c r="K382" s="101"/>
      <c r="M382"/>
      <c r="R382" s="185"/>
      <c r="S382" s="185"/>
      <c r="T382" s="182"/>
      <c r="U382" s="494"/>
      <c r="V382" s="494"/>
      <c r="W382" s="494"/>
      <c r="X382" s="182"/>
      <c r="Y382" s="182"/>
      <c r="Z382" s="182"/>
      <c r="AA382" s="182"/>
      <c r="AB382" s="182"/>
    </row>
    <row r="383" spans="4:28" x14ac:dyDescent="0.25">
      <c r="D383"/>
      <c r="K383" s="101"/>
      <c r="M383"/>
      <c r="R383" s="185"/>
      <c r="S383" s="185"/>
      <c r="T383" s="182"/>
      <c r="U383" s="494"/>
      <c r="V383" s="494"/>
      <c r="W383" s="494"/>
      <c r="X383" s="182"/>
      <c r="Y383" s="182"/>
      <c r="Z383" s="182"/>
      <c r="AA383" s="182"/>
      <c r="AB383" s="182"/>
    </row>
    <row r="384" spans="4:28" x14ac:dyDescent="0.25">
      <c r="D384"/>
      <c r="K384" s="101"/>
      <c r="M384"/>
      <c r="R384" s="185"/>
      <c r="S384" s="185"/>
      <c r="T384" s="182"/>
      <c r="U384" s="494"/>
      <c r="V384" s="494"/>
      <c r="W384" s="494"/>
      <c r="X384" s="182"/>
      <c r="Y384" s="182"/>
      <c r="Z384" s="182"/>
      <c r="AA384" s="182"/>
      <c r="AB384" s="182"/>
    </row>
    <row r="385" spans="4:28" x14ac:dyDescent="0.25">
      <c r="D385"/>
      <c r="K385" s="101"/>
      <c r="M385"/>
      <c r="R385" s="185"/>
      <c r="S385" s="185"/>
      <c r="T385" s="182"/>
      <c r="U385" s="494"/>
      <c r="V385" s="494"/>
      <c r="W385" s="494"/>
      <c r="X385" s="182"/>
      <c r="Y385" s="182"/>
      <c r="Z385" s="182"/>
      <c r="AA385" s="182"/>
      <c r="AB385" s="182"/>
    </row>
    <row r="386" spans="4:28" x14ac:dyDescent="0.25">
      <c r="D386"/>
      <c r="K386" s="101"/>
      <c r="M386"/>
      <c r="R386" s="185"/>
      <c r="S386" s="185"/>
      <c r="T386" s="182"/>
      <c r="U386" s="494"/>
      <c r="V386" s="494"/>
      <c r="W386" s="494"/>
      <c r="X386" s="182"/>
      <c r="Y386" s="182"/>
      <c r="Z386" s="182"/>
      <c r="AA386" s="182"/>
      <c r="AB386" s="182"/>
    </row>
    <row r="387" spans="4:28" x14ac:dyDescent="0.25">
      <c r="D387"/>
      <c r="K387" s="101"/>
      <c r="M387"/>
      <c r="R387" s="185"/>
      <c r="S387" s="185"/>
      <c r="T387" s="182"/>
      <c r="U387" s="494"/>
      <c r="V387" s="494"/>
      <c r="W387" s="494"/>
      <c r="X387" s="182"/>
      <c r="Y387" s="182"/>
      <c r="Z387" s="182"/>
      <c r="AA387" s="182"/>
      <c r="AB387" s="182"/>
    </row>
    <row r="388" spans="4:28" x14ac:dyDescent="0.25">
      <c r="D388"/>
      <c r="K388" s="101"/>
      <c r="M388"/>
      <c r="R388" s="185"/>
      <c r="S388" s="185"/>
      <c r="T388" s="182"/>
      <c r="U388" s="494"/>
      <c r="V388" s="494"/>
      <c r="W388" s="494"/>
      <c r="X388" s="182"/>
      <c r="Y388" s="182"/>
      <c r="Z388" s="182"/>
      <c r="AA388" s="182"/>
      <c r="AB388" s="182"/>
    </row>
    <row r="389" spans="4:28" x14ac:dyDescent="0.25">
      <c r="D389"/>
      <c r="K389" s="101"/>
      <c r="M389"/>
      <c r="R389" s="185"/>
      <c r="S389" s="185"/>
      <c r="T389" s="182"/>
      <c r="U389" s="494"/>
      <c r="V389" s="494"/>
      <c r="W389" s="494"/>
      <c r="X389" s="182"/>
      <c r="Y389" s="182"/>
      <c r="Z389" s="182"/>
      <c r="AA389" s="182"/>
      <c r="AB389" s="182"/>
    </row>
    <row r="390" spans="4:28" x14ac:dyDescent="0.25">
      <c r="D390"/>
      <c r="K390" s="101"/>
      <c r="M390"/>
      <c r="R390" s="185"/>
      <c r="S390" s="185"/>
      <c r="T390" s="182"/>
      <c r="U390" s="494"/>
      <c r="V390" s="494"/>
      <c r="W390" s="494"/>
      <c r="X390" s="182"/>
      <c r="Y390" s="182"/>
      <c r="Z390" s="182"/>
      <c r="AA390" s="182"/>
      <c r="AB390" s="182"/>
    </row>
    <row r="391" spans="4:28" x14ac:dyDescent="0.25">
      <c r="D391"/>
      <c r="K391" s="101"/>
      <c r="M391"/>
      <c r="R391" s="185"/>
      <c r="S391" s="185"/>
      <c r="T391" s="182"/>
      <c r="U391" s="494"/>
      <c r="V391" s="494"/>
      <c r="W391" s="494"/>
      <c r="X391" s="182"/>
      <c r="Y391" s="182"/>
      <c r="Z391" s="182"/>
      <c r="AA391" s="182"/>
      <c r="AB391" s="182"/>
    </row>
    <row r="392" spans="4:28" x14ac:dyDescent="0.25">
      <c r="D392"/>
      <c r="K392" s="101"/>
      <c r="M392"/>
      <c r="R392" s="185"/>
      <c r="S392" s="185"/>
      <c r="T392" s="182"/>
      <c r="U392" s="494"/>
      <c r="V392" s="494"/>
      <c r="W392" s="494"/>
      <c r="X392" s="182"/>
      <c r="Y392" s="182"/>
      <c r="Z392" s="182"/>
      <c r="AA392" s="182"/>
      <c r="AB392" s="182"/>
    </row>
    <row r="393" spans="4:28" x14ac:dyDescent="0.25">
      <c r="D393"/>
      <c r="K393" s="101"/>
      <c r="M393"/>
      <c r="R393" s="185"/>
      <c r="S393" s="185"/>
      <c r="T393" s="182"/>
      <c r="U393" s="494"/>
      <c r="V393" s="494"/>
      <c r="W393" s="494"/>
      <c r="X393" s="182"/>
      <c r="Y393" s="182"/>
      <c r="Z393" s="182"/>
      <c r="AA393" s="182"/>
      <c r="AB393" s="182"/>
    </row>
    <row r="394" spans="4:28" x14ac:dyDescent="0.25">
      <c r="D394"/>
      <c r="K394" s="101"/>
      <c r="M394"/>
      <c r="R394" s="185"/>
      <c r="S394" s="185"/>
      <c r="T394" s="182"/>
      <c r="U394" s="494"/>
      <c r="V394" s="494"/>
      <c r="W394" s="494"/>
      <c r="X394" s="182"/>
      <c r="Y394" s="182"/>
      <c r="Z394" s="182"/>
      <c r="AA394" s="182"/>
      <c r="AB394" s="182"/>
    </row>
    <row r="395" spans="4:28" x14ac:dyDescent="0.25">
      <c r="D395"/>
      <c r="K395" s="101"/>
      <c r="M395"/>
      <c r="R395" s="185"/>
      <c r="S395" s="185"/>
      <c r="T395" s="182"/>
      <c r="U395" s="494"/>
      <c r="V395" s="494"/>
      <c r="W395" s="494"/>
      <c r="X395" s="182"/>
      <c r="Y395" s="182"/>
      <c r="Z395" s="182"/>
      <c r="AA395" s="182"/>
      <c r="AB395" s="182"/>
    </row>
    <row r="396" spans="4:28" x14ac:dyDescent="0.25">
      <c r="D396"/>
      <c r="K396" s="101"/>
      <c r="M396"/>
      <c r="R396" s="185"/>
      <c r="S396" s="185"/>
      <c r="T396" s="182"/>
      <c r="U396" s="494"/>
      <c r="V396" s="494"/>
      <c r="W396" s="494"/>
      <c r="X396" s="182"/>
      <c r="Y396" s="182"/>
      <c r="Z396" s="182"/>
      <c r="AA396" s="182"/>
      <c r="AB396" s="182"/>
    </row>
    <row r="397" spans="4:28" x14ac:dyDescent="0.25">
      <c r="D397"/>
      <c r="K397" s="101"/>
      <c r="M397"/>
      <c r="R397" s="185"/>
      <c r="S397" s="185"/>
      <c r="T397" s="182"/>
      <c r="U397" s="494"/>
      <c r="V397" s="494"/>
      <c r="W397" s="494"/>
      <c r="X397" s="182"/>
      <c r="Y397" s="182"/>
      <c r="Z397" s="182"/>
      <c r="AA397" s="182"/>
      <c r="AB397" s="182"/>
    </row>
    <row r="398" spans="4:28" x14ac:dyDescent="0.25">
      <c r="D398"/>
      <c r="K398" s="101"/>
      <c r="M398"/>
      <c r="R398" s="185"/>
      <c r="S398" s="185"/>
      <c r="T398" s="182"/>
      <c r="U398" s="494"/>
      <c r="V398" s="494"/>
      <c r="W398" s="494"/>
      <c r="X398" s="182"/>
      <c r="Y398" s="182"/>
      <c r="Z398" s="182"/>
      <c r="AA398" s="182"/>
      <c r="AB398" s="182"/>
    </row>
    <row r="399" spans="4:28" x14ac:dyDescent="0.25">
      <c r="D399"/>
      <c r="K399" s="101"/>
      <c r="M399"/>
      <c r="R399" s="185"/>
      <c r="S399" s="185"/>
      <c r="T399" s="182"/>
      <c r="U399" s="494"/>
      <c r="V399" s="494"/>
      <c r="W399" s="494"/>
      <c r="X399" s="182"/>
      <c r="Y399" s="182"/>
      <c r="Z399" s="182"/>
      <c r="AA399" s="182"/>
      <c r="AB399" s="182"/>
    </row>
    <row r="400" spans="4:28" x14ac:dyDescent="0.25">
      <c r="D400"/>
      <c r="K400" s="101"/>
      <c r="M400"/>
      <c r="R400" s="185"/>
      <c r="S400" s="185"/>
      <c r="T400" s="182"/>
      <c r="U400" s="494"/>
      <c r="V400" s="494"/>
      <c r="W400" s="494"/>
      <c r="X400" s="182"/>
      <c r="Y400" s="182"/>
      <c r="Z400" s="182"/>
      <c r="AA400" s="182"/>
      <c r="AB400" s="182"/>
    </row>
    <row r="401" spans="4:28" x14ac:dyDescent="0.25">
      <c r="D401"/>
      <c r="K401" s="101"/>
      <c r="M401"/>
      <c r="R401" s="185"/>
      <c r="S401" s="185"/>
      <c r="T401" s="182"/>
      <c r="U401" s="494"/>
      <c r="V401" s="494"/>
      <c r="W401" s="494"/>
      <c r="X401" s="182"/>
      <c r="Y401" s="182"/>
      <c r="Z401" s="182"/>
      <c r="AA401" s="182"/>
      <c r="AB401" s="182"/>
    </row>
    <row r="402" spans="4:28" x14ac:dyDescent="0.25">
      <c r="D402"/>
      <c r="K402" s="101"/>
      <c r="M402"/>
      <c r="R402" s="185"/>
      <c r="S402" s="185"/>
      <c r="T402" s="182"/>
      <c r="U402" s="494"/>
      <c r="V402" s="494"/>
      <c r="W402" s="494"/>
      <c r="X402" s="182"/>
      <c r="Y402" s="182"/>
      <c r="Z402" s="182"/>
      <c r="AA402" s="182"/>
      <c r="AB402" s="182"/>
    </row>
    <row r="403" spans="4:28" x14ac:dyDescent="0.25">
      <c r="D403"/>
      <c r="K403" s="101"/>
      <c r="M403"/>
      <c r="R403" s="185"/>
      <c r="S403" s="185"/>
      <c r="T403" s="182"/>
      <c r="U403" s="494"/>
      <c r="V403" s="494"/>
      <c r="W403" s="494"/>
      <c r="X403" s="182"/>
      <c r="Y403" s="182"/>
      <c r="Z403" s="182"/>
      <c r="AA403" s="182"/>
      <c r="AB403" s="182"/>
    </row>
    <row r="404" spans="4:28" x14ac:dyDescent="0.25">
      <c r="D404"/>
      <c r="K404" s="101"/>
      <c r="M404"/>
      <c r="R404" s="185"/>
      <c r="S404" s="185"/>
      <c r="T404" s="182"/>
      <c r="U404" s="494"/>
      <c r="V404" s="494"/>
      <c r="W404" s="494"/>
      <c r="X404" s="182"/>
      <c r="Y404" s="182"/>
      <c r="Z404" s="182"/>
      <c r="AA404" s="182"/>
      <c r="AB404" s="182"/>
    </row>
    <row r="405" spans="4:28" x14ac:dyDescent="0.25">
      <c r="D405"/>
      <c r="K405" s="101"/>
      <c r="M405"/>
      <c r="R405" s="185"/>
      <c r="S405" s="185"/>
      <c r="T405" s="182"/>
      <c r="U405" s="494"/>
      <c r="V405" s="494"/>
      <c r="W405" s="494"/>
      <c r="X405" s="182"/>
      <c r="Y405" s="182"/>
      <c r="Z405" s="182"/>
      <c r="AA405" s="182"/>
      <c r="AB405" s="182"/>
    </row>
    <row r="406" spans="4:28" x14ac:dyDescent="0.25">
      <c r="D406"/>
      <c r="K406" s="101"/>
      <c r="M406"/>
      <c r="R406" s="185"/>
      <c r="S406" s="185"/>
      <c r="T406" s="182"/>
      <c r="U406" s="494"/>
      <c r="V406" s="494"/>
      <c r="W406" s="494"/>
      <c r="X406" s="182"/>
      <c r="Y406" s="182"/>
      <c r="Z406" s="182"/>
      <c r="AA406" s="182"/>
      <c r="AB406" s="182"/>
    </row>
    <row r="407" spans="4:28" x14ac:dyDescent="0.25">
      <c r="D407"/>
      <c r="K407" s="101"/>
      <c r="M407"/>
      <c r="R407" s="185"/>
      <c r="S407" s="185"/>
      <c r="T407" s="182"/>
      <c r="U407" s="494"/>
      <c r="V407" s="494"/>
      <c r="W407" s="494"/>
      <c r="X407" s="182"/>
      <c r="Y407" s="182"/>
      <c r="Z407" s="182"/>
      <c r="AA407" s="182"/>
      <c r="AB407" s="182"/>
    </row>
    <row r="408" spans="4:28" x14ac:dyDescent="0.25">
      <c r="D408"/>
      <c r="K408" s="101"/>
      <c r="M408"/>
      <c r="R408" s="185"/>
      <c r="S408" s="185"/>
      <c r="T408" s="182"/>
      <c r="U408" s="494"/>
      <c r="V408" s="494"/>
      <c r="W408" s="494"/>
      <c r="X408" s="182"/>
      <c r="Y408" s="182"/>
      <c r="Z408" s="182"/>
      <c r="AA408" s="182"/>
      <c r="AB408" s="182"/>
    </row>
    <row r="409" spans="4:28" x14ac:dyDescent="0.25">
      <c r="D409"/>
      <c r="K409" s="101"/>
      <c r="M409"/>
      <c r="R409" s="185"/>
      <c r="S409" s="185"/>
      <c r="T409" s="182"/>
      <c r="U409" s="494"/>
      <c r="V409" s="494"/>
      <c r="W409" s="494"/>
      <c r="X409" s="182"/>
      <c r="Y409" s="182"/>
      <c r="Z409" s="182"/>
      <c r="AA409" s="182"/>
      <c r="AB409" s="182"/>
    </row>
    <row r="410" spans="4:28" x14ac:dyDescent="0.25">
      <c r="D410"/>
      <c r="K410" s="101"/>
      <c r="M410"/>
      <c r="R410" s="185"/>
      <c r="S410" s="185"/>
      <c r="T410" s="182"/>
      <c r="U410" s="494"/>
      <c r="V410" s="494"/>
      <c r="W410" s="494"/>
      <c r="X410" s="182"/>
      <c r="Y410" s="182"/>
      <c r="Z410" s="182"/>
      <c r="AA410" s="182"/>
      <c r="AB410" s="182"/>
    </row>
    <row r="411" spans="4:28" x14ac:dyDescent="0.25">
      <c r="D411"/>
      <c r="K411" s="101"/>
      <c r="M411"/>
      <c r="R411" s="185"/>
      <c r="S411" s="185"/>
      <c r="T411" s="182"/>
      <c r="U411" s="494"/>
      <c r="V411" s="494"/>
      <c r="W411" s="494"/>
      <c r="X411" s="182"/>
      <c r="Y411" s="182"/>
      <c r="Z411" s="182"/>
      <c r="AA411" s="182"/>
      <c r="AB411" s="182"/>
    </row>
    <row r="412" spans="4:28" x14ac:dyDescent="0.25">
      <c r="D412"/>
      <c r="K412" s="101"/>
      <c r="M412"/>
      <c r="R412" s="185"/>
      <c r="S412" s="185"/>
      <c r="T412" s="182"/>
      <c r="U412" s="494"/>
      <c r="V412" s="494"/>
      <c r="W412" s="494"/>
      <c r="X412" s="182"/>
      <c r="Y412" s="182"/>
      <c r="Z412" s="182"/>
      <c r="AA412" s="182"/>
      <c r="AB412" s="182"/>
    </row>
    <row r="413" spans="4:28" x14ac:dyDescent="0.25">
      <c r="D413"/>
      <c r="K413" s="101"/>
      <c r="M413"/>
      <c r="R413" s="185"/>
      <c r="S413" s="185"/>
      <c r="T413" s="182"/>
      <c r="U413" s="494"/>
      <c r="V413" s="494"/>
      <c r="W413" s="494"/>
      <c r="X413" s="182"/>
      <c r="Y413" s="182"/>
      <c r="Z413" s="182"/>
      <c r="AA413" s="182"/>
      <c r="AB413" s="182"/>
    </row>
    <row r="414" spans="4:28" x14ac:dyDescent="0.25">
      <c r="D414"/>
      <c r="K414" s="101"/>
      <c r="M414"/>
      <c r="R414" s="185"/>
      <c r="S414" s="185"/>
      <c r="T414" s="182"/>
      <c r="U414" s="494"/>
      <c r="V414" s="494"/>
      <c r="W414" s="494"/>
      <c r="X414" s="182"/>
      <c r="Y414" s="182"/>
      <c r="Z414" s="182"/>
      <c r="AA414" s="182"/>
      <c r="AB414" s="182"/>
    </row>
    <row r="415" spans="4:28" x14ac:dyDescent="0.25">
      <c r="D415"/>
      <c r="K415" s="101"/>
      <c r="M415"/>
      <c r="R415" s="185"/>
      <c r="S415" s="185"/>
      <c r="T415" s="182"/>
      <c r="U415" s="494"/>
      <c r="V415" s="494"/>
      <c r="W415" s="494"/>
      <c r="X415" s="182"/>
      <c r="Y415" s="182"/>
      <c r="Z415" s="182"/>
      <c r="AA415" s="182"/>
      <c r="AB415" s="182"/>
    </row>
    <row r="416" spans="4:28" x14ac:dyDescent="0.25">
      <c r="D416"/>
      <c r="K416" s="101"/>
      <c r="M416"/>
      <c r="R416" s="185"/>
      <c r="S416" s="185"/>
      <c r="T416" s="182"/>
      <c r="U416" s="494"/>
      <c r="V416" s="494"/>
      <c r="W416" s="494"/>
      <c r="X416" s="182"/>
      <c r="Y416" s="182"/>
      <c r="Z416" s="182"/>
      <c r="AA416" s="182"/>
      <c r="AB416" s="182"/>
    </row>
    <row r="417" spans="4:28" x14ac:dyDescent="0.25">
      <c r="D417"/>
      <c r="K417" s="101"/>
      <c r="M417"/>
      <c r="R417" s="185"/>
      <c r="S417" s="185"/>
      <c r="T417" s="182"/>
      <c r="U417" s="494"/>
      <c r="V417" s="494"/>
      <c r="W417" s="494"/>
      <c r="X417" s="182"/>
      <c r="Y417" s="182"/>
      <c r="Z417" s="182"/>
      <c r="AA417" s="182"/>
      <c r="AB417" s="182"/>
    </row>
    <row r="418" spans="4:28" x14ac:dyDescent="0.25">
      <c r="D418"/>
      <c r="K418" s="101"/>
      <c r="M418"/>
      <c r="R418" s="185"/>
      <c r="S418" s="185"/>
      <c r="T418" s="182"/>
      <c r="U418" s="494"/>
      <c r="V418" s="494"/>
      <c r="W418" s="494"/>
      <c r="X418" s="182"/>
      <c r="Y418" s="182"/>
      <c r="Z418" s="182"/>
      <c r="AA418" s="182"/>
      <c r="AB418" s="182"/>
    </row>
    <row r="419" spans="4:28" x14ac:dyDescent="0.25">
      <c r="D419"/>
      <c r="K419" s="101"/>
      <c r="M419"/>
      <c r="R419" s="185"/>
      <c r="S419" s="185"/>
      <c r="T419" s="182"/>
      <c r="U419" s="494"/>
      <c r="V419" s="494"/>
      <c r="W419" s="494"/>
      <c r="X419" s="182"/>
      <c r="Y419" s="182"/>
      <c r="Z419" s="182"/>
      <c r="AA419" s="182"/>
      <c r="AB419" s="182"/>
    </row>
    <row r="420" spans="4:28" x14ac:dyDescent="0.25">
      <c r="D420"/>
      <c r="K420" s="101"/>
      <c r="M420"/>
      <c r="R420" s="185"/>
      <c r="S420" s="185"/>
      <c r="T420" s="182"/>
      <c r="U420" s="494"/>
      <c r="V420" s="494"/>
      <c r="W420" s="494"/>
      <c r="X420" s="182"/>
      <c r="Y420" s="182"/>
      <c r="Z420" s="182"/>
      <c r="AA420" s="182"/>
      <c r="AB420" s="182"/>
    </row>
    <row r="421" spans="4:28" x14ac:dyDescent="0.25">
      <c r="D421"/>
      <c r="K421" s="101"/>
      <c r="M421"/>
      <c r="R421" s="185"/>
      <c r="S421" s="185"/>
      <c r="T421" s="182"/>
      <c r="U421" s="494"/>
      <c r="V421" s="494"/>
      <c r="W421" s="494"/>
      <c r="X421" s="182"/>
      <c r="Y421" s="182"/>
      <c r="Z421" s="182"/>
      <c r="AA421" s="182"/>
      <c r="AB421" s="182"/>
    </row>
    <row r="422" spans="4:28" x14ac:dyDescent="0.25">
      <c r="D422"/>
      <c r="K422" s="101"/>
      <c r="M422"/>
      <c r="R422" s="185"/>
      <c r="S422" s="185"/>
      <c r="T422" s="182"/>
      <c r="U422" s="494"/>
      <c r="V422" s="494"/>
      <c r="W422" s="494"/>
      <c r="X422" s="182"/>
      <c r="Y422" s="182"/>
      <c r="Z422" s="182"/>
      <c r="AA422" s="182"/>
      <c r="AB422" s="182"/>
    </row>
    <row r="423" spans="4:28" x14ac:dyDescent="0.25">
      <c r="D423"/>
      <c r="K423" s="101"/>
      <c r="M423"/>
      <c r="R423" s="185"/>
      <c r="S423" s="185"/>
      <c r="T423" s="182"/>
      <c r="U423" s="494"/>
      <c r="V423" s="494"/>
      <c r="W423" s="494"/>
      <c r="X423" s="182"/>
      <c r="Y423" s="182"/>
      <c r="Z423" s="182"/>
      <c r="AA423" s="182"/>
      <c r="AB423" s="182"/>
    </row>
    <row r="424" spans="4:28" x14ac:dyDescent="0.25">
      <c r="D424"/>
      <c r="K424" s="101"/>
      <c r="M424"/>
      <c r="R424" s="185"/>
      <c r="S424" s="185"/>
      <c r="T424" s="182"/>
      <c r="U424" s="494"/>
      <c r="V424" s="494"/>
      <c r="W424" s="494"/>
      <c r="X424" s="182"/>
      <c r="Y424" s="182"/>
      <c r="Z424" s="182"/>
      <c r="AA424" s="182"/>
      <c r="AB424" s="182"/>
    </row>
    <row r="425" spans="4:28" x14ac:dyDescent="0.25">
      <c r="D425"/>
      <c r="K425" s="101"/>
      <c r="M425"/>
      <c r="R425" s="185"/>
      <c r="S425" s="185"/>
      <c r="T425" s="182"/>
      <c r="U425" s="494"/>
      <c r="V425" s="494"/>
      <c r="W425" s="494"/>
      <c r="X425" s="182"/>
      <c r="Y425" s="182"/>
      <c r="Z425" s="182"/>
      <c r="AA425" s="182"/>
      <c r="AB425" s="182"/>
    </row>
    <row r="426" spans="4:28" x14ac:dyDescent="0.25">
      <c r="D426"/>
      <c r="K426" s="101"/>
      <c r="M426"/>
      <c r="R426" s="185"/>
      <c r="S426" s="185"/>
      <c r="T426" s="182"/>
      <c r="U426" s="487"/>
      <c r="V426" s="487"/>
      <c r="W426" s="487"/>
      <c r="X426" s="182"/>
      <c r="Y426" s="182"/>
      <c r="Z426" s="182"/>
      <c r="AA426" s="182"/>
      <c r="AB426" s="182"/>
    </row>
    <row r="427" spans="4:28" x14ac:dyDescent="0.25">
      <c r="D427"/>
      <c r="K427" s="101"/>
      <c r="M427"/>
      <c r="R427" s="185"/>
      <c r="S427" s="185"/>
      <c r="T427" s="182"/>
      <c r="U427" s="487"/>
      <c r="V427" s="487"/>
      <c r="W427" s="487"/>
      <c r="X427" s="182"/>
      <c r="Y427" s="182"/>
      <c r="Z427" s="182"/>
      <c r="AA427" s="182"/>
      <c r="AB427" s="182"/>
    </row>
    <row r="428" spans="4:28" x14ac:dyDescent="0.25">
      <c r="D428"/>
      <c r="K428" s="101"/>
      <c r="M428"/>
      <c r="R428" s="185"/>
      <c r="S428" s="185"/>
      <c r="T428" s="182"/>
      <c r="U428" s="487"/>
      <c r="V428" s="487"/>
      <c r="W428" s="487"/>
      <c r="X428" s="182"/>
      <c r="Y428" s="182"/>
      <c r="Z428" s="182"/>
      <c r="AA428" s="182"/>
      <c r="AB428" s="182"/>
    </row>
    <row r="429" spans="4:28" x14ac:dyDescent="0.25">
      <c r="D429"/>
      <c r="K429" s="101"/>
      <c r="M429"/>
      <c r="R429" s="185"/>
      <c r="S429" s="185"/>
      <c r="T429" s="182"/>
      <c r="U429" s="487"/>
      <c r="V429" s="487"/>
      <c r="W429" s="487"/>
      <c r="X429" s="182"/>
      <c r="Y429" s="182"/>
      <c r="Z429" s="182"/>
      <c r="AA429" s="182"/>
      <c r="AB429" s="182"/>
    </row>
    <row r="430" spans="4:28" x14ac:dyDescent="0.25">
      <c r="D430"/>
      <c r="K430" s="101"/>
      <c r="M430"/>
      <c r="R430" s="185"/>
      <c r="S430" s="185"/>
      <c r="T430" s="182"/>
      <c r="U430" s="487"/>
      <c r="V430" s="487"/>
      <c r="W430" s="487"/>
      <c r="X430" s="182"/>
      <c r="Y430" s="182"/>
      <c r="Z430" s="182"/>
      <c r="AA430" s="182"/>
      <c r="AB430" s="182"/>
    </row>
    <row r="431" spans="4:28" x14ac:dyDescent="0.25">
      <c r="D431"/>
      <c r="K431" s="101"/>
      <c r="M431"/>
      <c r="R431" s="185"/>
      <c r="S431" s="185"/>
      <c r="T431" s="182"/>
      <c r="U431" s="487"/>
      <c r="V431" s="487"/>
      <c r="W431" s="487"/>
      <c r="X431" s="182"/>
      <c r="Y431" s="182"/>
      <c r="Z431" s="182"/>
      <c r="AA431" s="182"/>
      <c r="AB431" s="182"/>
    </row>
    <row r="432" spans="4:28" x14ac:dyDescent="0.25">
      <c r="D432"/>
      <c r="K432" s="101"/>
      <c r="M432"/>
      <c r="R432" s="185"/>
      <c r="S432" s="185"/>
      <c r="T432" s="182"/>
      <c r="U432" s="487"/>
      <c r="V432" s="487"/>
      <c r="W432" s="487"/>
      <c r="X432" s="182"/>
      <c r="Y432" s="182"/>
      <c r="Z432" s="182"/>
      <c r="AA432" s="182"/>
      <c r="AB432" s="182"/>
    </row>
    <row r="433" spans="4:28" x14ac:dyDescent="0.25">
      <c r="D433"/>
      <c r="K433" s="101"/>
      <c r="M433"/>
      <c r="R433" s="185"/>
      <c r="S433" s="185"/>
      <c r="T433" s="182"/>
      <c r="U433" s="487"/>
      <c r="V433" s="487"/>
      <c r="W433" s="487"/>
      <c r="X433" s="182"/>
      <c r="Y433" s="182"/>
      <c r="Z433" s="182"/>
      <c r="AA433" s="182"/>
      <c r="AB433" s="182"/>
    </row>
    <row r="434" spans="4:28" x14ac:dyDescent="0.25">
      <c r="D434"/>
      <c r="K434" s="101"/>
      <c r="M434"/>
      <c r="R434" s="185"/>
      <c r="S434" s="185"/>
      <c r="T434" s="182"/>
      <c r="U434" s="487"/>
      <c r="V434" s="487"/>
      <c r="W434" s="487"/>
      <c r="X434" s="182"/>
      <c r="Y434" s="182"/>
      <c r="Z434" s="182"/>
      <c r="AA434" s="182"/>
      <c r="AB434" s="182"/>
    </row>
    <row r="435" spans="4:28" x14ac:dyDescent="0.25">
      <c r="D435"/>
      <c r="K435" s="101"/>
      <c r="M435"/>
      <c r="R435" s="185"/>
      <c r="S435" s="185"/>
      <c r="T435" s="182"/>
      <c r="U435" s="487"/>
      <c r="V435" s="487"/>
      <c r="W435" s="487"/>
      <c r="X435" s="182"/>
      <c r="Y435" s="182"/>
      <c r="Z435" s="182"/>
      <c r="AA435" s="182"/>
      <c r="AB435" s="182"/>
    </row>
    <row r="436" spans="4:28" x14ac:dyDescent="0.25">
      <c r="D436"/>
      <c r="K436" s="101"/>
      <c r="M436"/>
      <c r="R436" s="185"/>
      <c r="S436" s="185"/>
      <c r="T436" s="182"/>
      <c r="U436" s="487"/>
      <c r="V436" s="487"/>
      <c r="W436" s="487"/>
      <c r="X436" s="182"/>
      <c r="Y436" s="182"/>
      <c r="Z436" s="182"/>
      <c r="AA436" s="182"/>
      <c r="AB436" s="182"/>
    </row>
    <row r="437" spans="4:28" x14ac:dyDescent="0.25">
      <c r="D437"/>
      <c r="K437" s="101"/>
      <c r="M437"/>
      <c r="R437" s="185"/>
      <c r="S437" s="185"/>
      <c r="T437" s="182"/>
      <c r="U437" s="487"/>
      <c r="V437" s="487"/>
      <c r="W437" s="487"/>
      <c r="X437" s="182"/>
      <c r="Y437" s="182"/>
      <c r="Z437" s="182"/>
      <c r="AA437" s="182"/>
      <c r="AB437" s="182"/>
    </row>
    <row r="438" spans="4:28" x14ac:dyDescent="0.25">
      <c r="D438"/>
      <c r="K438" s="101"/>
      <c r="M438"/>
      <c r="R438" s="185"/>
      <c r="S438" s="185"/>
      <c r="T438" s="182"/>
      <c r="U438" s="182"/>
      <c r="V438" s="182"/>
      <c r="W438" s="182"/>
      <c r="X438" s="182"/>
      <c r="Y438" s="182"/>
      <c r="Z438" s="182"/>
      <c r="AA438" s="182"/>
      <c r="AB438" s="182"/>
    </row>
    <row r="439" spans="4:28" x14ac:dyDescent="0.25">
      <c r="D439"/>
      <c r="K439" s="101"/>
      <c r="M439"/>
      <c r="R439" s="185"/>
      <c r="S439" s="185"/>
      <c r="T439" s="182"/>
      <c r="U439" s="182"/>
      <c r="V439" s="182"/>
      <c r="W439" s="182"/>
      <c r="X439" s="182"/>
      <c r="Y439" s="182"/>
      <c r="Z439" s="182"/>
      <c r="AA439" s="182"/>
      <c r="AB439" s="182"/>
    </row>
    <row r="440" spans="4:28" x14ac:dyDescent="0.25">
      <c r="D440"/>
      <c r="K440" s="101"/>
      <c r="M440"/>
      <c r="R440" s="185"/>
      <c r="S440" s="185"/>
      <c r="T440" s="182"/>
      <c r="U440" s="182"/>
      <c r="V440" s="182"/>
      <c r="W440" s="182"/>
      <c r="X440" s="182"/>
      <c r="Y440" s="182"/>
      <c r="Z440" s="182"/>
      <c r="AA440" s="182"/>
      <c r="AB440" s="182"/>
    </row>
    <row r="441" spans="4:28" x14ac:dyDescent="0.25">
      <c r="D441"/>
      <c r="K441" s="101"/>
      <c r="M441"/>
      <c r="R441" s="185"/>
      <c r="S441" s="185"/>
      <c r="T441" s="182"/>
      <c r="U441" s="182"/>
      <c r="V441" s="182"/>
      <c r="W441" s="182"/>
      <c r="X441" s="182"/>
      <c r="Y441" s="182"/>
      <c r="Z441" s="182"/>
      <c r="AA441" s="182"/>
      <c r="AB441" s="182"/>
    </row>
    <row r="442" spans="4:28" x14ac:dyDescent="0.25">
      <c r="D442"/>
      <c r="K442" s="101"/>
      <c r="M442"/>
      <c r="R442" s="185"/>
      <c r="S442" s="185"/>
      <c r="T442" s="182"/>
      <c r="U442" s="182"/>
      <c r="V442" s="182"/>
      <c r="W442" s="182"/>
      <c r="X442" s="182"/>
      <c r="Y442" s="182"/>
      <c r="Z442" s="182"/>
      <c r="AA442" s="182"/>
      <c r="AB442" s="182"/>
    </row>
    <row r="443" spans="4:28" x14ac:dyDescent="0.25">
      <c r="D443"/>
      <c r="K443" s="101"/>
      <c r="M443"/>
      <c r="R443" s="185"/>
      <c r="S443" s="185"/>
      <c r="T443" s="182"/>
      <c r="U443" s="182"/>
      <c r="V443" s="182"/>
      <c r="W443" s="182"/>
      <c r="X443" s="182"/>
      <c r="Y443" s="182"/>
      <c r="Z443" s="182"/>
      <c r="AA443" s="182"/>
      <c r="AB443" s="182"/>
    </row>
    <row r="444" spans="4:28" x14ac:dyDescent="0.25">
      <c r="D444"/>
      <c r="K444" s="101"/>
      <c r="M444"/>
      <c r="R444" s="185"/>
      <c r="S444" s="185"/>
      <c r="T444" s="182"/>
      <c r="U444" s="182"/>
      <c r="V444" s="182"/>
      <c r="W444" s="182"/>
      <c r="X444" s="182"/>
      <c r="Y444" s="182"/>
      <c r="Z444" s="182"/>
      <c r="AA444" s="182"/>
      <c r="AB444" s="182"/>
    </row>
    <row r="445" spans="4:28" x14ac:dyDescent="0.25">
      <c r="D445"/>
      <c r="K445" s="101"/>
      <c r="M445"/>
      <c r="R445" s="185"/>
      <c r="S445" s="185"/>
      <c r="T445" s="182"/>
      <c r="U445" s="182"/>
      <c r="V445" s="182"/>
      <c r="W445" s="182"/>
      <c r="X445" s="182"/>
      <c r="Y445" s="182"/>
      <c r="Z445" s="182"/>
      <c r="AA445" s="182"/>
      <c r="AB445" s="182"/>
    </row>
    <row r="446" spans="4:28" x14ac:dyDescent="0.25">
      <c r="D446"/>
      <c r="K446" s="101"/>
      <c r="M446"/>
      <c r="R446" s="185"/>
      <c r="S446" s="185"/>
      <c r="T446" s="182"/>
      <c r="U446" s="182"/>
      <c r="V446" s="182"/>
      <c r="W446" s="182"/>
      <c r="X446" s="182"/>
      <c r="Y446" s="182"/>
      <c r="Z446" s="182"/>
      <c r="AA446" s="182"/>
      <c r="AB446" s="182"/>
    </row>
    <row r="447" spans="4:28" x14ac:dyDescent="0.25">
      <c r="D447"/>
      <c r="K447" s="101"/>
      <c r="M447"/>
      <c r="R447" s="185"/>
      <c r="S447" s="185"/>
      <c r="T447" s="182"/>
      <c r="U447" s="182"/>
      <c r="V447" s="182"/>
      <c r="W447" s="182"/>
      <c r="X447" s="182"/>
      <c r="Y447" s="182"/>
      <c r="Z447" s="182"/>
      <c r="AA447" s="182"/>
      <c r="AB447" s="182"/>
    </row>
    <row r="448" spans="4:28" x14ac:dyDescent="0.25">
      <c r="D448"/>
      <c r="K448" s="101"/>
      <c r="M448"/>
      <c r="R448" s="185"/>
      <c r="S448" s="185"/>
      <c r="T448" s="182"/>
      <c r="U448" s="182"/>
      <c r="V448" s="182"/>
      <c r="W448" s="182"/>
      <c r="X448" s="182"/>
      <c r="Y448" s="182"/>
      <c r="Z448" s="182"/>
      <c r="AA448" s="182"/>
      <c r="AB448" s="182"/>
    </row>
    <row r="449" spans="4:28" x14ac:dyDescent="0.25">
      <c r="D449"/>
      <c r="K449" s="101"/>
      <c r="M449"/>
      <c r="R449" s="185"/>
      <c r="S449" s="185"/>
      <c r="T449" s="182"/>
      <c r="U449" s="182"/>
      <c r="V449" s="182"/>
      <c r="W449" s="182"/>
      <c r="X449" s="182"/>
      <c r="Y449" s="182"/>
      <c r="Z449" s="182"/>
      <c r="AA449" s="182"/>
      <c r="AB449" s="182"/>
    </row>
    <row r="450" spans="4:28" x14ac:dyDescent="0.25">
      <c r="D450"/>
      <c r="K450" s="101"/>
      <c r="M450"/>
      <c r="R450" s="185"/>
      <c r="S450" s="185"/>
      <c r="T450" s="182"/>
      <c r="U450" s="182"/>
      <c r="V450" s="182"/>
      <c r="W450" s="182"/>
      <c r="X450" s="182"/>
      <c r="Y450" s="182"/>
      <c r="Z450" s="182"/>
      <c r="AA450" s="182"/>
      <c r="AB450" s="182"/>
    </row>
    <row r="451" spans="4:28" x14ac:dyDescent="0.25">
      <c r="D451"/>
      <c r="K451" s="101"/>
      <c r="M451"/>
      <c r="R451" s="185"/>
      <c r="S451" s="185"/>
      <c r="T451" s="182"/>
      <c r="U451" s="182"/>
      <c r="V451" s="182"/>
      <c r="W451" s="182"/>
      <c r="X451" s="182"/>
      <c r="Y451" s="182"/>
      <c r="Z451" s="182"/>
      <c r="AA451" s="182"/>
      <c r="AB451" s="182"/>
    </row>
    <row r="452" spans="4:28" x14ac:dyDescent="0.25">
      <c r="D452"/>
      <c r="K452" s="101"/>
      <c r="M452"/>
      <c r="R452" s="185"/>
      <c r="S452" s="185"/>
      <c r="T452" s="182"/>
      <c r="U452" s="182"/>
      <c r="V452" s="182"/>
      <c r="W452" s="182"/>
      <c r="X452" s="182"/>
      <c r="Y452" s="182"/>
      <c r="Z452" s="182"/>
      <c r="AA452" s="182"/>
      <c r="AB452" s="182"/>
    </row>
    <row r="453" spans="4:28" x14ac:dyDescent="0.25">
      <c r="D453"/>
      <c r="K453" s="101"/>
      <c r="M453"/>
      <c r="R453" s="185"/>
      <c r="S453" s="185"/>
      <c r="T453" s="182"/>
      <c r="U453" s="182"/>
      <c r="V453" s="182"/>
      <c r="W453" s="182"/>
      <c r="X453" s="182"/>
      <c r="Y453" s="182"/>
      <c r="Z453" s="182"/>
      <c r="AA453" s="182"/>
      <c r="AB453" s="182"/>
    </row>
    <row r="454" spans="4:28" x14ac:dyDescent="0.25">
      <c r="D454"/>
      <c r="K454" s="101"/>
      <c r="M454"/>
      <c r="R454" s="185"/>
      <c r="S454" s="185"/>
      <c r="T454" s="182"/>
      <c r="U454" s="182"/>
      <c r="V454" s="182"/>
      <c r="W454" s="182"/>
      <c r="X454" s="182"/>
      <c r="Y454" s="182"/>
      <c r="Z454" s="182"/>
      <c r="AA454" s="182"/>
      <c r="AB454" s="182"/>
    </row>
    <row r="455" spans="4:28" x14ac:dyDescent="0.25">
      <c r="D455"/>
      <c r="K455" s="101"/>
      <c r="M455"/>
      <c r="R455" s="185"/>
      <c r="S455" s="185"/>
      <c r="T455" s="182"/>
      <c r="U455" s="182"/>
      <c r="V455" s="182"/>
      <c r="W455" s="182"/>
      <c r="X455" s="182"/>
      <c r="Y455" s="182"/>
      <c r="Z455" s="182"/>
      <c r="AA455" s="182"/>
      <c r="AB455" s="182"/>
    </row>
    <row r="456" spans="4:28" x14ac:dyDescent="0.25">
      <c r="D456"/>
      <c r="K456" s="101"/>
      <c r="M456"/>
      <c r="R456" s="185"/>
      <c r="S456" s="185"/>
      <c r="T456" s="182"/>
      <c r="U456" s="182"/>
      <c r="V456" s="182"/>
      <c r="W456" s="182"/>
      <c r="X456" s="182"/>
      <c r="Y456" s="182"/>
      <c r="Z456" s="182"/>
      <c r="AA456" s="182"/>
      <c r="AB456" s="182"/>
    </row>
    <row r="457" spans="4:28" x14ac:dyDescent="0.25">
      <c r="D457"/>
      <c r="K457" s="101"/>
      <c r="M457"/>
      <c r="R457" s="185"/>
      <c r="S457" s="185"/>
      <c r="T457" s="182"/>
      <c r="U457" s="182"/>
      <c r="V457" s="182"/>
      <c r="W457" s="182"/>
      <c r="X457" s="182"/>
      <c r="Y457" s="182"/>
      <c r="Z457" s="182"/>
      <c r="AA457" s="182"/>
      <c r="AB457" s="182"/>
    </row>
    <row r="458" spans="4:28" x14ac:dyDescent="0.25">
      <c r="D458"/>
      <c r="K458" s="101"/>
      <c r="M458"/>
      <c r="R458" s="185"/>
      <c r="S458" s="185"/>
      <c r="T458" s="182"/>
      <c r="U458" s="182"/>
      <c r="V458" s="182"/>
      <c r="W458" s="182"/>
      <c r="X458" s="182"/>
      <c r="Y458" s="182"/>
      <c r="Z458" s="182"/>
      <c r="AA458" s="182"/>
      <c r="AB458" s="182"/>
    </row>
    <row r="459" spans="4:28" x14ac:dyDescent="0.25">
      <c r="D459"/>
      <c r="K459" s="101"/>
      <c r="M459"/>
      <c r="R459" s="185"/>
      <c r="S459" s="185"/>
      <c r="T459" s="182"/>
      <c r="U459" s="182"/>
      <c r="V459" s="182"/>
      <c r="W459" s="182"/>
      <c r="X459" s="182"/>
      <c r="Y459" s="182"/>
      <c r="Z459" s="182"/>
      <c r="AA459" s="182"/>
      <c r="AB459" s="182"/>
    </row>
    <row r="460" spans="4:28" x14ac:dyDescent="0.25">
      <c r="D460"/>
      <c r="K460" s="101"/>
      <c r="M460"/>
      <c r="R460" s="185"/>
      <c r="S460" s="185"/>
      <c r="T460" s="182"/>
      <c r="U460" s="182"/>
      <c r="V460" s="182"/>
      <c r="W460" s="182"/>
      <c r="X460" s="182"/>
      <c r="Y460" s="182"/>
      <c r="Z460" s="182"/>
      <c r="AA460" s="182"/>
      <c r="AB460" s="182"/>
    </row>
    <row r="461" spans="4:28" x14ac:dyDescent="0.25">
      <c r="D461"/>
      <c r="K461" s="101"/>
      <c r="M461"/>
      <c r="R461" s="185"/>
      <c r="S461" s="185"/>
      <c r="T461" s="182"/>
      <c r="U461" s="182"/>
      <c r="V461" s="182"/>
      <c r="W461" s="182"/>
      <c r="X461" s="182"/>
      <c r="Y461" s="182"/>
      <c r="Z461" s="182"/>
      <c r="AA461" s="182"/>
      <c r="AB461" s="182"/>
    </row>
    <row r="462" spans="4:28" x14ac:dyDescent="0.25">
      <c r="D462"/>
      <c r="K462" s="101"/>
      <c r="M462"/>
      <c r="R462" s="185"/>
      <c r="S462" s="185"/>
      <c r="T462" s="182"/>
      <c r="U462" s="182"/>
      <c r="V462" s="182"/>
      <c r="W462" s="182"/>
      <c r="X462" s="182"/>
      <c r="Y462" s="182"/>
      <c r="Z462" s="182"/>
      <c r="AA462" s="182"/>
      <c r="AB462" s="182"/>
    </row>
    <row r="463" spans="4:28" x14ac:dyDescent="0.25">
      <c r="D463"/>
      <c r="K463" s="101"/>
      <c r="M463"/>
    </row>
    <row r="464" spans="4:28" x14ac:dyDescent="0.25">
      <c r="D464"/>
      <c r="K464" s="101"/>
      <c r="M464"/>
    </row>
    <row r="465" spans="4:13" x14ac:dyDescent="0.25">
      <c r="D465"/>
      <c r="K465" s="101"/>
      <c r="M465"/>
    </row>
    <row r="466" spans="4:13" x14ac:dyDescent="0.25">
      <c r="D466"/>
      <c r="K466" s="101"/>
      <c r="M466"/>
    </row>
    <row r="467" spans="4:13" x14ac:dyDescent="0.25">
      <c r="D467"/>
      <c r="K467" s="101"/>
      <c r="M467"/>
    </row>
    <row r="468" spans="4:13" x14ac:dyDescent="0.25">
      <c r="D468"/>
      <c r="K468" s="101"/>
      <c r="M468"/>
    </row>
    <row r="469" spans="4:13" x14ac:dyDescent="0.25">
      <c r="D469"/>
      <c r="K469" s="101"/>
      <c r="M469"/>
    </row>
    <row r="470" spans="4:13" x14ac:dyDescent="0.25">
      <c r="D470"/>
      <c r="K470" s="101"/>
      <c r="M470"/>
    </row>
  </sheetData>
  <mergeCells count="3">
    <mergeCell ref="U1:Y1"/>
    <mergeCell ref="Z29:AC39"/>
    <mergeCell ref="Z110:AC116"/>
  </mergeCells>
  <printOptions horizontalCentered="1" headings="1" gridLines="1" gridLinesSet="0"/>
  <pageMargins left="0.18" right="0.19" top="0.75" bottom="0" header="0.25" footer="0.25"/>
  <pageSetup scale="62" pageOrder="overThenDown" orientation="portrait" r:id="rId1"/>
  <headerFooter alignWithMargins="0">
    <oddHeader xml:space="preserve">&amp;L &amp;CTuition &amp; Transportation
 </oddHeader>
    <oddFooter xml:space="preserve">&amp;C
</oddFooter>
  </headerFooter>
  <rowBreaks count="3" manualBreakCount="3">
    <brk id="109" max="16383" man="1"/>
    <brk id="176" max="16383" man="1"/>
    <brk id="20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W248"/>
  <sheetViews>
    <sheetView topLeftCell="A22" workbookViewId="0">
      <selection activeCell="A49" sqref="A49"/>
    </sheetView>
  </sheetViews>
  <sheetFormatPr defaultRowHeight="13.2" x14ac:dyDescent="0.25"/>
  <cols>
    <col min="1" max="1" width="25.5546875" bestFit="1" customWidth="1"/>
    <col min="2" max="2" width="31.6640625" bestFit="1" customWidth="1"/>
    <col min="3" max="3" width="8.44140625" customWidth="1"/>
    <col min="4" max="5" width="10" style="36" customWidth="1"/>
    <col min="6" max="6" width="8" customWidth="1"/>
    <col min="7" max="8" width="6.33203125" customWidth="1"/>
    <col min="9" max="9" width="8" customWidth="1"/>
    <col min="10" max="11" width="7" customWidth="1"/>
    <col min="12" max="12" width="10.5546875" style="49" bestFit="1" customWidth="1"/>
    <col min="13" max="13" width="10.5546875" style="254" customWidth="1"/>
    <col min="14" max="14" width="11.109375" style="49" bestFit="1" customWidth="1"/>
    <col min="15" max="15" width="18.88671875" style="92" customWidth="1"/>
    <col min="16" max="16" width="19.33203125" style="7" customWidth="1"/>
    <col min="17" max="17" width="11.44140625" customWidth="1"/>
    <col min="18" max="18" width="12.44140625" customWidth="1"/>
    <col min="19" max="19" width="14.44140625" bestFit="1" customWidth="1"/>
    <col min="20" max="20" width="13.88671875" customWidth="1"/>
  </cols>
  <sheetData>
    <row r="1" spans="1:23" ht="48.75" customHeight="1" thickBot="1" x14ac:dyDescent="0.3">
      <c r="A1" s="52" t="s">
        <v>57</v>
      </c>
      <c r="B1" s="102" t="s">
        <v>0</v>
      </c>
      <c r="C1" s="102"/>
      <c r="D1" s="102"/>
      <c r="E1" s="98" t="s">
        <v>485</v>
      </c>
      <c r="F1" s="98" t="s">
        <v>326</v>
      </c>
      <c r="G1" s="98" t="s">
        <v>327</v>
      </c>
      <c r="H1" s="98" t="s">
        <v>328</v>
      </c>
      <c r="I1" s="98" t="s">
        <v>329</v>
      </c>
      <c r="J1" s="98" t="s">
        <v>330</v>
      </c>
      <c r="K1" s="98" t="s">
        <v>331</v>
      </c>
      <c r="L1" s="127" t="s">
        <v>299</v>
      </c>
      <c r="M1" s="127" t="s">
        <v>592</v>
      </c>
      <c r="N1" s="127"/>
      <c r="O1" s="91" t="s">
        <v>629</v>
      </c>
      <c r="P1" s="53" t="s">
        <v>473</v>
      </c>
      <c r="Q1" s="53" t="s">
        <v>61</v>
      </c>
      <c r="R1" s="53" t="s">
        <v>60</v>
      </c>
      <c r="S1" s="54" t="s">
        <v>300</v>
      </c>
      <c r="T1" s="55" t="s">
        <v>467</v>
      </c>
      <c r="U1" s="245" t="s">
        <v>506</v>
      </c>
      <c r="V1" s="245" t="s">
        <v>507</v>
      </c>
    </row>
    <row r="2" spans="1:23" x14ac:dyDescent="0.25">
      <c r="A2" s="56" t="s">
        <v>210</v>
      </c>
      <c r="B2" s="262" t="s">
        <v>379</v>
      </c>
      <c r="C2" s="6" t="s">
        <v>284</v>
      </c>
      <c r="F2" s="103"/>
      <c r="G2" s="230"/>
      <c r="H2" s="119"/>
      <c r="I2" s="103"/>
      <c r="J2" s="261"/>
      <c r="K2" s="119"/>
      <c r="L2" s="49">
        <f>(SUM(F2+I2)+((G2+J2)*0.6667)+(H2+K2)*0.3334)/2</f>
        <v>0</v>
      </c>
      <c r="M2" s="481"/>
      <c r="N2" s="246"/>
      <c r="O2" s="47">
        <f>L2*'TT entry &amp; transportation'!B266</f>
        <v>0</v>
      </c>
      <c r="P2" s="192"/>
      <c r="Q2" s="7"/>
      <c r="R2" s="7"/>
      <c r="S2" s="7">
        <f>Q2+R2</f>
        <v>0</v>
      </c>
      <c r="T2" s="338" t="s">
        <v>1</v>
      </c>
      <c r="U2" s="767"/>
      <c r="V2" s="767"/>
    </row>
    <row r="3" spans="1:23" x14ac:dyDescent="0.25">
      <c r="A3" s="56"/>
      <c r="B3" s="262" t="s">
        <v>378</v>
      </c>
      <c r="C3" s="6" t="s">
        <v>285</v>
      </c>
      <c r="F3" s="103"/>
      <c r="G3" s="230"/>
      <c r="H3" s="119"/>
      <c r="I3" s="103"/>
      <c r="J3" s="261"/>
      <c r="K3" s="119"/>
      <c r="L3" s="49">
        <f>(SUM(F3+I3)+((G3+J3)*0.6667)+(H3+K3)*0.3334)/2</f>
        <v>0</v>
      </c>
      <c r="M3" s="481"/>
      <c r="N3" s="246"/>
      <c r="O3" s="47">
        <f>L3*'TT entry &amp; transportation'!B266</f>
        <v>0</v>
      </c>
      <c r="P3" s="192"/>
      <c r="Q3" s="7"/>
      <c r="R3" s="7"/>
      <c r="S3" s="249">
        <f>Q3+R3</f>
        <v>0</v>
      </c>
      <c r="T3" s="57"/>
      <c r="U3" s="262"/>
      <c r="V3" s="262"/>
      <c r="W3" s="248"/>
    </row>
    <row r="4" spans="1:23" x14ac:dyDescent="0.25">
      <c r="A4" s="56"/>
      <c r="B4" s="262" t="s">
        <v>377</v>
      </c>
      <c r="C4" s="6" t="s">
        <v>373</v>
      </c>
      <c r="F4" s="103"/>
      <c r="G4" s="230"/>
      <c r="H4" s="119"/>
      <c r="I4" s="103"/>
      <c r="J4" s="261"/>
      <c r="K4" s="119"/>
      <c r="L4" s="49">
        <f>(SUM(F4+I4)+((G4+J4)*0.6667)+(H4+K4)*0.3334)/2</f>
        <v>0</v>
      </c>
      <c r="M4" s="481"/>
      <c r="N4" s="246"/>
      <c r="O4" s="47">
        <f>L4*'TT entry &amp; transportation'!B266</f>
        <v>0</v>
      </c>
      <c r="P4" s="192"/>
      <c r="Q4" s="7"/>
      <c r="R4" s="7"/>
      <c r="S4" s="249">
        <f>Q4+R4</f>
        <v>0</v>
      </c>
      <c r="T4" s="57"/>
      <c r="U4" s="784"/>
      <c r="V4" s="767"/>
    </row>
    <row r="5" spans="1:23" s="247" customFormat="1" x14ac:dyDescent="0.25">
      <c r="A5" s="457" t="s">
        <v>1</v>
      </c>
      <c r="B5" s="262" t="s">
        <v>603</v>
      </c>
      <c r="C5" s="97" t="s">
        <v>374</v>
      </c>
      <c r="D5" s="252"/>
      <c r="E5" s="252"/>
      <c r="F5" s="103"/>
      <c r="G5" s="230"/>
      <c r="H5" s="119"/>
      <c r="I5" s="103"/>
      <c r="J5" s="261"/>
      <c r="K5" s="119"/>
      <c r="L5" s="254">
        <f>(SUM(F5+I5)+((G5+J5)*0.6667)+(H5+K5)*0.3334)/2</f>
        <v>0</v>
      </c>
      <c r="M5" s="481"/>
      <c r="N5" s="246"/>
      <c r="O5" s="47">
        <f>L5*'TT entry &amp; transportation'!B266</f>
        <v>0</v>
      </c>
      <c r="P5" s="268"/>
      <c r="Q5" s="249"/>
      <c r="R5" s="249"/>
      <c r="S5" s="249">
        <f>Q5+R5</f>
        <v>0</v>
      </c>
      <c r="T5" s="255"/>
      <c r="U5" s="262"/>
      <c r="V5" s="784"/>
    </row>
    <row r="6" spans="1:23" x14ac:dyDescent="0.25">
      <c r="A6" s="56"/>
      <c r="B6" s="262" t="s">
        <v>375</v>
      </c>
      <c r="C6" s="262" t="s">
        <v>217</v>
      </c>
      <c r="D6" s="173" t="s">
        <v>333</v>
      </c>
      <c r="E6" s="265"/>
      <c r="F6" s="130"/>
      <c r="G6" s="131"/>
      <c r="H6" s="132"/>
      <c r="I6" s="130"/>
      <c r="J6" s="131"/>
      <c r="K6" s="132"/>
      <c r="L6" s="49">
        <f>(SUM(F6+I6)+((G6+J6)*0.6667)+(H6+K6)*0.3334)/2</f>
        <v>0</v>
      </c>
      <c r="M6" s="481"/>
      <c r="N6" s="246"/>
      <c r="O6" s="47">
        <f>L6*'TT entry &amp; transportation'!B266</f>
        <v>0</v>
      </c>
      <c r="P6" s="192"/>
      <c r="Q6" s="7"/>
      <c r="R6" s="7"/>
      <c r="S6" s="249">
        <f>Q6+R6</f>
        <v>0</v>
      </c>
      <c r="T6" s="57"/>
      <c r="U6" s="722"/>
      <c r="V6" s="784"/>
    </row>
    <row r="7" spans="1:23" x14ac:dyDescent="0.25">
      <c r="A7" s="60"/>
      <c r="B7" s="60" t="s">
        <v>54</v>
      </c>
      <c r="C7" s="60"/>
      <c r="D7" s="166"/>
      <c r="E7" s="166"/>
      <c r="F7" s="109"/>
      <c r="G7" s="110"/>
      <c r="H7" s="122"/>
      <c r="I7" s="109"/>
      <c r="J7" s="110"/>
      <c r="K7" s="122"/>
      <c r="L7" s="50">
        <f>SUM(L2:L6)</f>
        <v>0</v>
      </c>
      <c r="M7" s="277"/>
      <c r="N7" s="238"/>
      <c r="O7" s="93"/>
      <c r="P7" s="196">
        <f>SUM(O2:O6)</f>
        <v>0</v>
      </c>
      <c r="Q7" s="48"/>
      <c r="R7" s="48"/>
      <c r="S7" s="48"/>
      <c r="T7" s="48">
        <f>SUM(S2:S6)</f>
        <v>0</v>
      </c>
      <c r="U7" s="784"/>
      <c r="V7" s="784"/>
    </row>
    <row r="8" spans="1:23" x14ac:dyDescent="0.25">
      <c r="A8" s="56" t="s">
        <v>29</v>
      </c>
      <c r="B8" s="262" t="s">
        <v>402</v>
      </c>
      <c r="C8" s="6" t="s">
        <v>274</v>
      </c>
      <c r="E8" s="36">
        <v>13</v>
      </c>
      <c r="F8" s="103"/>
      <c r="G8" s="230"/>
      <c r="H8" s="119"/>
      <c r="I8" s="103"/>
      <c r="J8" s="261"/>
      <c r="K8" s="119"/>
      <c r="L8" s="49">
        <f>(SUM(F8+I8)+((G8+J8)*0.6667)+(H8+K8)*0.3334)/2</f>
        <v>0</v>
      </c>
      <c r="M8" s="481"/>
      <c r="N8" s="464"/>
      <c r="O8" s="47" t="s">
        <v>1</v>
      </c>
      <c r="P8" s="192"/>
      <c r="Q8" s="7"/>
      <c r="R8" s="7"/>
      <c r="S8" s="249"/>
      <c r="T8" s="57"/>
      <c r="U8" s="784"/>
      <c r="V8" s="784"/>
      <c r="W8" s="248"/>
    </row>
    <row r="9" spans="1:23" x14ac:dyDescent="0.25">
      <c r="A9" s="56"/>
      <c r="B9" s="262" t="s">
        <v>401</v>
      </c>
      <c r="C9" s="6" t="s">
        <v>288</v>
      </c>
      <c r="F9" s="103">
        <v>26</v>
      </c>
      <c r="G9" s="230">
        <v>0</v>
      </c>
      <c r="H9" s="119">
        <v>0</v>
      </c>
      <c r="I9" s="103">
        <v>11</v>
      </c>
      <c r="J9" s="261">
        <v>0</v>
      </c>
      <c r="K9" s="119">
        <v>0</v>
      </c>
      <c r="L9" s="49">
        <f>(SUM(F9+I9)+((G9+J9)*0.6667)+(H9+K9)*0.3334)/2</f>
        <v>18.5</v>
      </c>
      <c r="M9" s="481">
        <v>187.5</v>
      </c>
      <c r="N9" s="246">
        <f>4875+2062.5</f>
        <v>6937.5</v>
      </c>
      <c r="O9" s="47" t="s">
        <v>1</v>
      </c>
      <c r="P9" s="192"/>
      <c r="Q9" s="7">
        <v>0</v>
      </c>
      <c r="R9" s="7">
        <v>0</v>
      </c>
      <c r="S9" s="249">
        <f>Q9+R9</f>
        <v>0</v>
      </c>
      <c r="T9" s="57"/>
      <c r="U9" s="784" t="s">
        <v>867</v>
      </c>
      <c r="V9" s="784" t="s">
        <v>867</v>
      </c>
      <c r="W9" s="248"/>
    </row>
    <row r="10" spans="1:23" x14ac:dyDescent="0.25">
      <c r="A10" s="60"/>
      <c r="B10" s="60" t="s">
        <v>308</v>
      </c>
      <c r="C10" s="60"/>
      <c r="D10" s="166"/>
      <c r="E10" s="166"/>
      <c r="F10" s="109"/>
      <c r="G10" s="110"/>
      <c r="H10" s="122"/>
      <c r="I10" s="109"/>
      <c r="J10" s="110"/>
      <c r="K10" s="122"/>
      <c r="L10" s="50">
        <f>SUM(L8:L9)</f>
        <v>18.5</v>
      </c>
      <c r="M10" s="277"/>
      <c r="N10" s="238"/>
      <c r="O10" s="93"/>
      <c r="P10" s="196">
        <f>SUM(O8:O9)</f>
        <v>0</v>
      </c>
      <c r="Q10" s="48"/>
      <c r="R10" s="253"/>
      <c r="S10" s="253"/>
      <c r="T10" s="48">
        <f>SUM(S8:S9)</f>
        <v>0</v>
      </c>
      <c r="U10" s="784"/>
      <c r="V10" s="784"/>
    </row>
    <row r="11" spans="1:23" x14ac:dyDescent="0.25">
      <c r="A11" s="6" t="s">
        <v>320</v>
      </c>
      <c r="B11" s="262" t="s">
        <v>497</v>
      </c>
      <c r="C11" s="6" t="s">
        <v>276</v>
      </c>
      <c r="F11" s="103"/>
      <c r="G11" s="128"/>
      <c r="H11" s="119"/>
      <c r="I11" s="103"/>
      <c r="J11" s="261"/>
      <c r="K11" s="119"/>
      <c r="L11" s="49">
        <f>(SUM(F11+I11)+((G11+J11)*0.6667)+(H11+K11)*0.3334)/2</f>
        <v>0</v>
      </c>
      <c r="M11" s="481"/>
      <c r="N11" s="246"/>
      <c r="O11" s="47">
        <f>L11*'TT entry &amp; transportation'!B266</f>
        <v>0</v>
      </c>
      <c r="P11" s="192"/>
      <c r="Q11" s="7"/>
      <c r="R11" s="7"/>
      <c r="S11" s="249"/>
      <c r="T11" s="57"/>
      <c r="U11" s="784"/>
      <c r="V11" s="784"/>
      <c r="W11" s="248"/>
    </row>
    <row r="12" spans="1:23" x14ac:dyDescent="0.25">
      <c r="A12" s="232" t="s">
        <v>499</v>
      </c>
      <c r="B12" s="275" t="s">
        <v>498</v>
      </c>
      <c r="C12" s="275" t="s">
        <v>276</v>
      </c>
      <c r="F12" s="241"/>
      <c r="G12" s="242"/>
      <c r="H12" s="243"/>
      <c r="I12" s="241"/>
      <c r="J12" s="242"/>
      <c r="K12" s="243"/>
      <c r="L12" s="254">
        <f>(SUM(F12+I12)+((G12+J12)*0.6667)+(H12+K12)*0.3334)/2</f>
        <v>0</v>
      </c>
      <c r="M12" s="481"/>
      <c r="N12" s="246"/>
      <c r="O12" s="47" t="s">
        <v>1</v>
      </c>
      <c r="P12" s="192"/>
      <c r="Q12" s="7"/>
      <c r="R12" s="7"/>
      <c r="S12" s="249"/>
      <c r="T12" s="57"/>
      <c r="U12" s="784"/>
      <c r="V12" s="784"/>
      <c r="W12" s="248"/>
    </row>
    <row r="13" spans="1:23" x14ac:dyDescent="0.25">
      <c r="A13" s="60"/>
      <c r="B13" s="60" t="s">
        <v>54</v>
      </c>
      <c r="C13" s="60"/>
      <c r="D13" s="166"/>
      <c r="E13" s="166"/>
      <c r="F13" s="109"/>
      <c r="G13" s="110"/>
      <c r="H13" s="122"/>
      <c r="I13" s="109"/>
      <c r="J13" s="110"/>
      <c r="K13" s="122"/>
      <c r="L13" s="50">
        <f>L11+L12</f>
        <v>0</v>
      </c>
      <c r="M13" s="277"/>
      <c r="N13" s="238"/>
      <c r="O13" s="93"/>
      <c r="P13" s="193">
        <f>SUM(O11:O12)</f>
        <v>0</v>
      </c>
      <c r="Q13" s="48"/>
      <c r="R13" s="48"/>
      <c r="S13" s="48"/>
      <c r="T13" s="48">
        <f>Q13+R13</f>
        <v>0</v>
      </c>
      <c r="U13" s="784"/>
      <c r="V13" s="784"/>
    </row>
    <row r="14" spans="1:23" x14ac:dyDescent="0.25">
      <c r="A14" s="76" t="s">
        <v>312</v>
      </c>
      <c r="B14" s="262" t="s">
        <v>401</v>
      </c>
      <c r="C14" s="6" t="s">
        <v>276</v>
      </c>
      <c r="E14" s="36" t="s">
        <v>1</v>
      </c>
      <c r="F14" s="103">
        <v>1</v>
      </c>
      <c r="G14" s="104">
        <v>0</v>
      </c>
      <c r="H14" s="119">
        <v>0</v>
      </c>
      <c r="I14" s="103">
        <v>1</v>
      </c>
      <c r="J14" s="261">
        <v>0</v>
      </c>
      <c r="K14" s="119">
        <v>0</v>
      </c>
      <c r="L14" s="49">
        <f>(SUM(F14+I14)+((G14+J14)*0.6667)+(H14+K14)*0.3334)/2</f>
        <v>1</v>
      </c>
      <c r="M14" s="481">
        <f>3146.25</f>
        <v>3146.25</v>
      </c>
      <c r="N14" s="246">
        <f>3146.25+3146.25</f>
        <v>6292.5</v>
      </c>
      <c r="O14" s="47">
        <f>L14*'TT entry &amp; transportation'!B269</f>
        <v>0</v>
      </c>
      <c r="P14" s="192"/>
      <c r="Q14" s="7">
        <v>0</v>
      </c>
      <c r="R14" s="7">
        <v>0</v>
      </c>
      <c r="S14" s="249"/>
      <c r="T14" s="57"/>
      <c r="U14" s="784" t="s">
        <v>867</v>
      </c>
      <c r="V14" s="784" t="s">
        <v>867</v>
      </c>
    </row>
    <row r="15" spans="1:23" x14ac:dyDescent="0.25">
      <c r="A15" s="60"/>
      <c r="B15" s="60" t="s">
        <v>54</v>
      </c>
      <c r="C15" s="60"/>
      <c r="D15" s="166"/>
      <c r="E15" s="166"/>
      <c r="F15" s="109"/>
      <c r="G15" s="110"/>
      <c r="H15" s="122"/>
      <c r="I15" s="109"/>
      <c r="J15" s="110"/>
      <c r="K15" s="122"/>
      <c r="L15" s="50">
        <f>SUM(L14:L14)</f>
        <v>1</v>
      </c>
      <c r="M15" s="50"/>
      <c r="N15" s="238"/>
      <c r="O15" s="93"/>
      <c r="P15" s="193">
        <f>SUM(O14:O14)</f>
        <v>0</v>
      </c>
      <c r="Q15" s="48"/>
      <c r="R15" s="48"/>
      <c r="S15" s="48"/>
      <c r="T15" s="48">
        <f>S15</f>
        <v>0</v>
      </c>
      <c r="U15" s="784"/>
      <c r="V15" s="784"/>
    </row>
    <row r="16" spans="1:23" s="182" customFormat="1" x14ac:dyDescent="0.25">
      <c r="A16" s="66"/>
      <c r="B16" s="66"/>
      <c r="C16" s="66"/>
      <c r="D16" s="172"/>
      <c r="E16" s="172"/>
      <c r="F16" s="117"/>
      <c r="G16" s="118"/>
      <c r="H16" s="126"/>
      <c r="I16" s="117"/>
      <c r="J16" s="118"/>
      <c r="K16" s="126"/>
      <c r="L16" s="100"/>
      <c r="M16" s="100"/>
      <c r="N16" s="239"/>
      <c r="O16" s="95"/>
      <c r="P16" s="201"/>
      <c r="Q16" s="67"/>
      <c r="R16" s="67"/>
      <c r="S16" s="67"/>
      <c r="T16" s="208" t="s">
        <v>1</v>
      </c>
    </row>
    <row r="17" spans="1:23" s="209" customFormat="1" x14ac:dyDescent="0.25">
      <c r="A17" s="203"/>
      <c r="B17" s="203" t="s">
        <v>56</v>
      </c>
      <c r="C17" s="203"/>
      <c r="D17" s="172"/>
      <c r="E17" s="172"/>
      <c r="F17" s="203"/>
      <c r="G17" s="203"/>
      <c r="H17" s="203"/>
      <c r="I17" s="203"/>
      <c r="J17" s="203"/>
      <c r="K17" s="203"/>
      <c r="L17" s="204">
        <f>L7+L10+L13+L15</f>
        <v>19.5</v>
      </c>
      <c r="M17" s="270"/>
      <c r="N17" s="240"/>
      <c r="O17" s="205" t="s">
        <v>1</v>
      </c>
      <c r="P17" s="206">
        <f>P7+P10+P13+P15</f>
        <v>0</v>
      </c>
      <c r="Q17" s="207"/>
      <c r="R17" s="207"/>
      <c r="S17" s="207"/>
      <c r="T17" s="207">
        <f>SUM(T2:T16)</f>
        <v>0</v>
      </c>
    </row>
    <row r="18" spans="1:23" x14ac:dyDescent="0.25">
      <c r="L18" s="101"/>
      <c r="M18" s="259"/>
      <c r="N18" s="101"/>
      <c r="P18"/>
    </row>
    <row r="19" spans="1:23" s="247" customFormat="1" x14ac:dyDescent="0.25">
      <c r="D19" s="252"/>
      <c r="E19" s="252"/>
      <c r="L19" s="259"/>
      <c r="M19" s="259"/>
      <c r="N19" s="259"/>
      <c r="O19" s="258"/>
    </row>
    <row r="20" spans="1:23" s="247" customFormat="1" x14ac:dyDescent="0.25">
      <c r="D20" s="252"/>
      <c r="E20" s="252"/>
      <c r="L20" s="259"/>
      <c r="M20" s="259"/>
      <c r="N20" s="259"/>
      <c r="O20" s="258"/>
    </row>
    <row r="21" spans="1:23" s="247" customFormat="1" x14ac:dyDescent="0.25">
      <c r="D21" s="252"/>
      <c r="E21" s="252"/>
      <c r="L21" s="259"/>
      <c r="M21" s="259"/>
      <c r="N21" s="259"/>
      <c r="O21" s="258"/>
    </row>
    <row r="22" spans="1:23" x14ac:dyDescent="0.25">
      <c r="L22" s="101"/>
      <c r="M22" s="259"/>
      <c r="N22" s="101"/>
      <c r="P22"/>
    </row>
    <row r="23" spans="1:23" x14ac:dyDescent="0.25">
      <c r="A23" s="279" t="s">
        <v>508</v>
      </c>
      <c r="B23" s="276"/>
      <c r="C23" s="247"/>
      <c r="D23" s="247"/>
      <c r="E23" s="247"/>
      <c r="F23" s="247"/>
      <c r="G23" s="247"/>
      <c r="H23" s="247"/>
      <c r="I23" s="247"/>
      <c r="J23" s="247"/>
      <c r="K23" s="247"/>
      <c r="L23" s="259"/>
      <c r="M23" s="259"/>
      <c r="N23" s="259"/>
      <c r="O23" s="247"/>
      <c r="P23" s="247"/>
      <c r="Q23" s="247"/>
      <c r="R23" s="247"/>
      <c r="S23" s="247"/>
      <c r="T23" s="247"/>
      <c r="U23" s="247"/>
      <c r="V23" s="247"/>
    </row>
    <row r="24" spans="1:23" x14ac:dyDescent="0.2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57" t="s">
        <v>1</v>
      </c>
      <c r="P24" s="268"/>
      <c r="Q24" s="247"/>
      <c r="R24" s="247"/>
      <c r="S24" s="247"/>
      <c r="T24" s="257" t="s">
        <v>1</v>
      </c>
      <c r="U24" s="247"/>
      <c r="V24" s="247"/>
    </row>
    <row r="25" spans="1:23" x14ac:dyDescent="0.25">
      <c r="A25" s="280" t="s">
        <v>456</v>
      </c>
      <c r="B25" s="302"/>
      <c r="C25" s="281"/>
      <c r="D25" s="281"/>
      <c r="E25" s="281"/>
      <c r="F25" s="281"/>
      <c r="G25" s="281"/>
      <c r="H25" s="281"/>
      <c r="I25" s="281"/>
      <c r="J25" s="281"/>
      <c r="K25" s="281"/>
      <c r="L25" s="282"/>
      <c r="M25" s="282"/>
      <c r="N25" s="282"/>
      <c r="O25" s="283" t="s">
        <v>479</v>
      </c>
      <c r="P25" s="303"/>
      <c r="Q25" s="284" t="s">
        <v>477</v>
      </c>
      <c r="R25" s="284" t="s">
        <v>478</v>
      </c>
      <c r="S25" s="284" t="s">
        <v>475</v>
      </c>
      <c r="T25" s="247"/>
      <c r="U25" s="247"/>
      <c r="V25" s="247"/>
    </row>
    <row r="26" spans="1:23" x14ac:dyDescent="0.25">
      <c r="A26" s="304" t="s">
        <v>210</v>
      </c>
      <c r="B26" s="305" t="s">
        <v>379</v>
      </c>
      <c r="C26" s="305" t="s">
        <v>284</v>
      </c>
      <c r="D26" s="306"/>
      <c r="E26" s="306" t="s">
        <v>1</v>
      </c>
      <c r="F26" s="304">
        <f t="shared" ref="F26:L28" si="0">F2</f>
        <v>0</v>
      </c>
      <c r="G26" s="308">
        <f t="shared" si="0"/>
        <v>0</v>
      </c>
      <c r="H26" s="307">
        <f t="shared" si="0"/>
        <v>0</v>
      </c>
      <c r="I26" s="304">
        <f t="shared" si="0"/>
        <v>0</v>
      </c>
      <c r="J26" s="308">
        <f t="shared" si="0"/>
        <v>0</v>
      </c>
      <c r="K26" s="307">
        <f t="shared" si="0"/>
        <v>0</v>
      </c>
      <c r="L26" s="465">
        <f t="shared" si="0"/>
        <v>0</v>
      </c>
      <c r="M26" s="477"/>
      <c r="N26" s="309"/>
      <c r="O26" s="310">
        <f>L26*'TT entry &amp; transportation'!$B$266</f>
        <v>0</v>
      </c>
      <c r="P26" s="311"/>
      <c r="Q26" s="312">
        <f t="shared" ref="Q26:S28" si="1">Q2</f>
        <v>0</v>
      </c>
      <c r="R26" s="312">
        <f t="shared" si="1"/>
        <v>0</v>
      </c>
      <c r="S26" s="312">
        <f t="shared" si="1"/>
        <v>0</v>
      </c>
      <c r="T26" s="570"/>
      <c r="U26" s="247"/>
      <c r="V26" s="247"/>
    </row>
    <row r="27" spans="1:23" x14ac:dyDescent="0.25">
      <c r="A27" s="313"/>
      <c r="B27" s="314" t="s">
        <v>378</v>
      </c>
      <c r="C27" s="314" t="s">
        <v>285</v>
      </c>
      <c r="D27" s="315"/>
      <c r="E27" s="315" t="s">
        <v>1</v>
      </c>
      <c r="F27" s="313">
        <f t="shared" si="0"/>
        <v>0</v>
      </c>
      <c r="G27" s="317">
        <f t="shared" si="0"/>
        <v>0</v>
      </c>
      <c r="H27" s="316">
        <f t="shared" si="0"/>
        <v>0</v>
      </c>
      <c r="I27" s="313">
        <f t="shared" si="0"/>
        <v>0</v>
      </c>
      <c r="J27" s="317">
        <f t="shared" si="0"/>
        <v>0</v>
      </c>
      <c r="K27" s="316">
        <f t="shared" si="0"/>
        <v>0</v>
      </c>
      <c r="L27" s="466">
        <f t="shared" si="0"/>
        <v>0</v>
      </c>
      <c r="M27" s="478"/>
      <c r="N27" s="318"/>
      <c r="O27" s="319">
        <f>L27*'TT entry &amp; transportation'!$B$266</f>
        <v>0</v>
      </c>
      <c r="P27" s="320"/>
      <c r="Q27" s="321">
        <f t="shared" si="1"/>
        <v>0</v>
      </c>
      <c r="R27" s="321">
        <f t="shared" si="1"/>
        <v>0</v>
      </c>
      <c r="S27" s="321">
        <f t="shared" si="1"/>
        <v>0</v>
      </c>
      <c r="T27" s="570"/>
      <c r="U27" s="247"/>
      <c r="V27" s="262"/>
      <c r="W27" s="248"/>
    </row>
    <row r="28" spans="1:23" x14ac:dyDescent="0.25">
      <c r="A28" s="313"/>
      <c r="B28" s="314" t="s">
        <v>377</v>
      </c>
      <c r="C28" s="314" t="s">
        <v>373</v>
      </c>
      <c r="D28" s="315"/>
      <c r="E28" s="315" t="s">
        <v>1</v>
      </c>
      <c r="F28" s="313">
        <f t="shared" si="0"/>
        <v>0</v>
      </c>
      <c r="G28" s="317">
        <f t="shared" si="0"/>
        <v>0</v>
      </c>
      <c r="H28" s="316">
        <f t="shared" si="0"/>
        <v>0</v>
      </c>
      <c r="I28" s="313">
        <f t="shared" si="0"/>
        <v>0</v>
      </c>
      <c r="J28" s="317">
        <f t="shared" si="0"/>
        <v>0</v>
      </c>
      <c r="K28" s="316">
        <f t="shared" si="0"/>
        <v>0</v>
      </c>
      <c r="L28" s="466">
        <f t="shared" si="0"/>
        <v>0</v>
      </c>
      <c r="M28" s="478"/>
      <c r="N28" s="318"/>
      <c r="O28" s="319">
        <f>L28*'TT entry &amp; transportation'!$B$266</f>
        <v>0</v>
      </c>
      <c r="P28" s="320"/>
      <c r="Q28" s="321">
        <f t="shared" si="1"/>
        <v>0</v>
      </c>
      <c r="R28" s="321">
        <f t="shared" si="1"/>
        <v>0</v>
      </c>
      <c r="S28" s="321">
        <f t="shared" si="1"/>
        <v>0</v>
      </c>
      <c r="T28" s="570"/>
      <c r="U28" s="247"/>
      <c r="V28" s="247"/>
    </row>
    <row r="29" spans="1:23" s="247" customFormat="1" x14ac:dyDescent="0.25">
      <c r="A29" s="923" t="s">
        <v>1</v>
      </c>
      <c r="B29" s="314" t="s">
        <v>603</v>
      </c>
      <c r="C29" s="314" t="s">
        <v>374</v>
      </c>
      <c r="D29" s="315"/>
      <c r="E29" s="315"/>
      <c r="F29" s="313">
        <f t="shared" ref="F29:L29" si="2">F5</f>
        <v>0</v>
      </c>
      <c r="G29" s="317">
        <f t="shared" si="2"/>
        <v>0</v>
      </c>
      <c r="H29" s="316">
        <f t="shared" si="2"/>
        <v>0</v>
      </c>
      <c r="I29" s="313">
        <f t="shared" si="2"/>
        <v>0</v>
      </c>
      <c r="J29" s="317">
        <f t="shared" si="2"/>
        <v>0</v>
      </c>
      <c r="K29" s="316">
        <f t="shared" si="2"/>
        <v>0</v>
      </c>
      <c r="L29" s="466">
        <f t="shared" si="2"/>
        <v>0</v>
      </c>
      <c r="M29" s="478"/>
      <c r="N29" s="318"/>
      <c r="O29" s="319">
        <f>L29*'TT entry &amp; transportation'!$B$266</f>
        <v>0</v>
      </c>
      <c r="P29" s="320"/>
      <c r="Q29" s="321"/>
      <c r="R29" s="321"/>
      <c r="S29" s="321"/>
      <c r="T29" s="570"/>
    </row>
    <row r="30" spans="1:23" x14ac:dyDescent="0.25">
      <c r="A30" s="322"/>
      <c r="B30" s="323" t="s">
        <v>375</v>
      </c>
      <c r="C30" s="323" t="s">
        <v>217</v>
      </c>
      <c r="D30" s="580" t="s">
        <v>333</v>
      </c>
      <c r="E30" s="324" t="s">
        <v>1</v>
      </c>
      <c r="F30" s="325">
        <f t="shared" ref="F30:L30" si="3">F6</f>
        <v>0</v>
      </c>
      <c r="G30" s="323">
        <f t="shared" si="3"/>
        <v>0</v>
      </c>
      <c r="H30" s="326">
        <f t="shared" si="3"/>
        <v>0</v>
      </c>
      <c r="I30" s="325">
        <f t="shared" si="3"/>
        <v>0</v>
      </c>
      <c r="J30" s="323">
        <f t="shared" si="3"/>
        <v>0</v>
      </c>
      <c r="K30" s="326">
        <f t="shared" si="3"/>
        <v>0</v>
      </c>
      <c r="L30" s="467">
        <f t="shared" si="3"/>
        <v>0</v>
      </c>
      <c r="M30" s="479"/>
      <c r="N30" s="327"/>
      <c r="O30" s="328">
        <f>L30*'TT entry &amp; transportation'!$B$266</f>
        <v>0</v>
      </c>
      <c r="P30" s="329"/>
      <c r="Q30" s="330">
        <f>Q6</f>
        <v>0</v>
      </c>
      <c r="R30" s="330">
        <f>R6</f>
        <v>0</v>
      </c>
      <c r="S30" s="330">
        <f>S6</f>
        <v>0</v>
      </c>
      <c r="T30" s="570"/>
      <c r="U30" s="458"/>
      <c r="V30" s="247"/>
    </row>
    <row r="31" spans="1:23" s="496" customFormat="1" x14ac:dyDescent="0.25">
      <c r="A31" s="269"/>
      <c r="B31" s="269" t="s">
        <v>612</v>
      </c>
      <c r="C31" s="269"/>
      <c r="D31" s="266"/>
      <c r="E31" s="266"/>
      <c r="F31" s="564"/>
      <c r="G31" s="565"/>
      <c r="H31" s="566"/>
      <c r="I31" s="564"/>
      <c r="J31" s="565"/>
      <c r="K31" s="566"/>
      <c r="L31" s="567">
        <f>L7</f>
        <v>0</v>
      </c>
      <c r="M31" s="568"/>
      <c r="N31" s="278"/>
      <c r="O31" s="271"/>
      <c r="P31" s="334">
        <f>SUM(O26:O30)</f>
        <v>0</v>
      </c>
      <c r="Q31" s="272">
        <f>SUM(Q26:Q30)</f>
        <v>0</v>
      </c>
      <c r="R31" s="272">
        <f>SUM(R26:R30)</f>
        <v>0</v>
      </c>
      <c r="S31" s="272">
        <f>SUM(S26:S30)</f>
        <v>0</v>
      </c>
      <c r="T31" s="500"/>
    </row>
    <row r="32" spans="1:23" x14ac:dyDescent="0.25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335" t="s">
        <v>1</v>
      </c>
      <c r="M32" s="335"/>
      <c r="N32" s="259"/>
      <c r="O32" s="249"/>
      <c r="P32" s="247"/>
      <c r="Q32" s="249"/>
      <c r="R32" s="249"/>
      <c r="S32" s="249"/>
      <c r="T32" s="247"/>
      <c r="U32" s="247"/>
      <c r="V32" s="247"/>
    </row>
    <row r="33" spans="1:23" x14ac:dyDescent="0.2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59"/>
      <c r="M33" s="259"/>
      <c r="N33" s="259"/>
      <c r="O33" s="274" t="s">
        <v>1</v>
      </c>
      <c r="P33" s="267" t="s">
        <v>1</v>
      </c>
      <c r="Q33" s="256"/>
      <c r="R33" s="256"/>
      <c r="S33" s="256"/>
      <c r="T33" s="247"/>
      <c r="U33" s="247"/>
      <c r="V33" s="247"/>
    </row>
    <row r="34" spans="1:23" x14ac:dyDescent="0.25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59"/>
      <c r="M34" s="259"/>
      <c r="N34" s="259"/>
      <c r="O34" s="247"/>
      <c r="P34" s="267" t="s">
        <v>1</v>
      </c>
      <c r="Q34" s="256"/>
      <c r="R34" s="256"/>
      <c r="S34" s="256"/>
      <c r="T34" s="247"/>
      <c r="U34" s="247"/>
      <c r="V34" s="247"/>
      <c r="W34" s="247"/>
    </row>
    <row r="35" spans="1:23" x14ac:dyDescent="0.25">
      <c r="A35" s="280" t="s">
        <v>457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2"/>
      <c r="M35" s="282"/>
      <c r="N35" s="282"/>
      <c r="O35" s="283" t="s">
        <v>479</v>
      </c>
      <c r="P35" s="283" t="s">
        <v>1</v>
      </c>
      <c r="Q35" s="284" t="s">
        <v>477</v>
      </c>
      <c r="R35" s="284" t="s">
        <v>478</v>
      </c>
      <c r="S35" s="284" t="s">
        <v>475</v>
      </c>
      <c r="T35" s="247"/>
      <c r="U35" s="247"/>
      <c r="V35" s="247"/>
      <c r="W35" s="247"/>
    </row>
    <row r="36" spans="1:23" x14ac:dyDescent="0.25">
      <c r="A36" s="285" t="s">
        <v>29</v>
      </c>
      <c r="B36" s="286" t="s">
        <v>402</v>
      </c>
      <c r="C36" s="286" t="s">
        <v>274</v>
      </c>
      <c r="D36" s="287"/>
      <c r="E36" s="287" t="s">
        <v>1</v>
      </c>
      <c r="F36" s="285">
        <v>0</v>
      </c>
      <c r="G36" s="288">
        <v>0</v>
      </c>
      <c r="H36" s="289">
        <v>0</v>
      </c>
      <c r="I36" s="285">
        <v>0</v>
      </c>
      <c r="J36" s="290">
        <v>0</v>
      </c>
      <c r="K36" s="289">
        <v>0</v>
      </c>
      <c r="L36" s="473">
        <v>0</v>
      </c>
      <c r="M36" s="480"/>
      <c r="N36" s="291"/>
      <c r="O36" s="337">
        <f>N8</f>
        <v>0</v>
      </c>
      <c r="P36" s="337" t="s">
        <v>1</v>
      </c>
      <c r="Q36" s="292">
        <v>0</v>
      </c>
      <c r="R36" s="292">
        <v>0</v>
      </c>
      <c r="S36" s="293">
        <f>Q36+R36</f>
        <v>0</v>
      </c>
      <c r="T36" s="494"/>
      <c r="U36" s="247"/>
      <c r="V36" s="247"/>
      <c r="W36" s="247"/>
    </row>
    <row r="37" spans="1:23" x14ac:dyDescent="0.25">
      <c r="A37" s="280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2"/>
      <c r="M37" s="282"/>
      <c r="N37" s="282"/>
      <c r="O37" s="281"/>
      <c r="P37" s="471"/>
      <c r="Q37" s="284"/>
      <c r="R37" s="284"/>
      <c r="S37" s="284"/>
      <c r="T37" s="182"/>
      <c r="U37" s="247"/>
      <c r="V37" s="247"/>
      <c r="W37" s="247"/>
    </row>
    <row r="38" spans="1:23" x14ac:dyDescent="0.25">
      <c r="A38" s="294" t="s">
        <v>454</v>
      </c>
      <c r="B38" s="286" t="s">
        <v>59</v>
      </c>
      <c r="C38" s="295"/>
      <c r="D38" s="287"/>
      <c r="E38" s="287" t="s">
        <v>1</v>
      </c>
      <c r="F38" s="332">
        <f>F9</f>
        <v>26</v>
      </c>
      <c r="G38" s="295">
        <f t="shared" ref="G38:L38" si="4">G9</f>
        <v>0</v>
      </c>
      <c r="H38" s="333">
        <f t="shared" si="4"/>
        <v>0</v>
      </c>
      <c r="I38" s="332">
        <f>I9</f>
        <v>11</v>
      </c>
      <c r="J38" s="295">
        <f t="shared" si="4"/>
        <v>0</v>
      </c>
      <c r="K38" s="333">
        <f>K9</f>
        <v>0</v>
      </c>
      <c r="L38" s="468">
        <f t="shared" si="4"/>
        <v>18.5</v>
      </c>
      <c r="M38" s="295"/>
      <c r="N38" s="349"/>
      <c r="O38" s="297">
        <f>N9</f>
        <v>6937.5</v>
      </c>
      <c r="P38" s="470"/>
      <c r="Q38" s="292">
        <f>Q9</f>
        <v>0</v>
      </c>
      <c r="R38" s="292">
        <f>S9</f>
        <v>0</v>
      </c>
      <c r="S38" s="293">
        <f>Q38+R38</f>
        <v>0</v>
      </c>
      <c r="T38" s="182"/>
      <c r="U38" s="247"/>
      <c r="V38" s="247"/>
      <c r="W38" s="247"/>
    </row>
    <row r="39" spans="1:23" s="209" customFormat="1" x14ac:dyDescent="0.25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2"/>
      <c r="M39" s="282"/>
      <c r="N39" s="282"/>
      <c r="O39" s="281"/>
      <c r="P39" s="472"/>
      <c r="Q39" s="281"/>
      <c r="R39" s="281"/>
      <c r="S39" s="339" t="s">
        <v>1</v>
      </c>
      <c r="T39" s="182"/>
      <c r="U39" s="247"/>
      <c r="V39" s="247"/>
      <c r="W39" s="247"/>
    </row>
    <row r="40" spans="1:23" x14ac:dyDescent="0.25">
      <c r="A40" s="294" t="s">
        <v>455</v>
      </c>
      <c r="B40" s="286" t="s">
        <v>498</v>
      </c>
      <c r="C40" s="286" t="s">
        <v>276</v>
      </c>
      <c r="D40" s="287"/>
      <c r="E40" s="287"/>
      <c r="F40" s="285">
        <f>F12</f>
        <v>0</v>
      </c>
      <c r="G40" s="290">
        <f t="shared" ref="G40:L40" si="5">G12</f>
        <v>0</v>
      </c>
      <c r="H40" s="289">
        <f t="shared" si="5"/>
        <v>0</v>
      </c>
      <c r="I40" s="285">
        <f>I12</f>
        <v>0</v>
      </c>
      <c r="J40" s="290">
        <f t="shared" si="5"/>
        <v>0</v>
      </c>
      <c r="K40" s="289">
        <f t="shared" si="5"/>
        <v>0</v>
      </c>
      <c r="L40" s="469">
        <f t="shared" si="5"/>
        <v>0</v>
      </c>
      <c r="M40" s="290"/>
      <c r="N40" s="291"/>
      <c r="O40" s="351">
        <f>N12</f>
        <v>0</v>
      </c>
      <c r="P40" s="470"/>
      <c r="Q40" s="292">
        <f>Q12</f>
        <v>0</v>
      </c>
      <c r="R40" s="292">
        <f>R12</f>
        <v>0</v>
      </c>
      <c r="S40" s="292">
        <f>S12</f>
        <v>0</v>
      </c>
      <c r="T40" s="494"/>
      <c r="U40" s="247"/>
      <c r="V40" s="247"/>
      <c r="W40" s="247"/>
    </row>
    <row r="41" spans="1:23" x14ac:dyDescent="0.25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2"/>
      <c r="M41" s="282"/>
      <c r="N41" s="282"/>
      <c r="O41" s="281"/>
      <c r="P41" s="472"/>
      <c r="Q41" s="300"/>
      <c r="R41" s="300"/>
      <c r="S41" s="301"/>
      <c r="T41" s="182"/>
      <c r="U41" s="247"/>
      <c r="V41" s="247"/>
      <c r="W41" s="247"/>
    </row>
    <row r="42" spans="1:23" x14ac:dyDescent="0.25">
      <c r="A42" s="294" t="s">
        <v>320</v>
      </c>
      <c r="B42" s="286" t="s">
        <v>497</v>
      </c>
      <c r="C42" s="286" t="s">
        <v>276</v>
      </c>
      <c r="D42" s="287"/>
      <c r="E42" s="287" t="s">
        <v>1</v>
      </c>
      <c r="F42" s="285">
        <f>F11</f>
        <v>0</v>
      </c>
      <c r="G42" s="290">
        <f t="shared" ref="G42:L42" si="6">G11</f>
        <v>0</v>
      </c>
      <c r="H42" s="289">
        <f t="shared" si="6"/>
        <v>0</v>
      </c>
      <c r="I42" s="285">
        <f>I11</f>
        <v>0</v>
      </c>
      <c r="J42" s="290">
        <f>J11</f>
        <v>0</v>
      </c>
      <c r="K42" s="289">
        <f>K11</f>
        <v>0</v>
      </c>
      <c r="L42" s="469">
        <f t="shared" si="6"/>
        <v>0</v>
      </c>
      <c r="M42" s="290"/>
      <c r="N42" s="291"/>
      <c r="O42" s="351">
        <f>N11</f>
        <v>0</v>
      </c>
      <c r="P42" s="470"/>
      <c r="Q42" s="292">
        <f>Q11</f>
        <v>0</v>
      </c>
      <c r="R42" s="292">
        <f>R11</f>
        <v>0</v>
      </c>
      <c r="S42" s="293">
        <f>Q42+R42</f>
        <v>0</v>
      </c>
      <c r="T42" s="494"/>
      <c r="U42" s="247"/>
      <c r="V42" s="247"/>
      <c r="W42" s="247"/>
    </row>
    <row r="43" spans="1:23" s="247" customFormat="1" x14ac:dyDescent="0.25">
      <c r="A43" s="314"/>
      <c r="B43" s="314"/>
      <c r="C43" s="314"/>
      <c r="D43" s="315"/>
      <c r="E43" s="315"/>
      <c r="F43" s="317"/>
      <c r="G43" s="317"/>
      <c r="H43" s="317"/>
      <c r="I43" s="317"/>
      <c r="J43" s="317"/>
      <c r="K43" s="317"/>
      <c r="L43" s="380"/>
      <c r="M43" s="380"/>
      <c r="N43" s="318"/>
      <c r="O43" s="381"/>
      <c r="P43" s="319"/>
      <c r="Q43" s="321"/>
      <c r="R43" s="321"/>
      <c r="S43" s="321"/>
      <c r="T43" s="494"/>
    </row>
    <row r="44" spans="1:23" s="247" customFormat="1" x14ac:dyDescent="0.25">
      <c r="A44" s="569" t="s">
        <v>312</v>
      </c>
      <c r="B44" s="286" t="s">
        <v>401</v>
      </c>
      <c r="C44" s="382" t="s">
        <v>276</v>
      </c>
      <c r="D44" s="287"/>
      <c r="E44" s="287"/>
      <c r="F44" s="285">
        <f>F14</f>
        <v>1</v>
      </c>
      <c r="G44" s="290">
        <f t="shared" ref="G44:L44" si="7">G14</f>
        <v>0</v>
      </c>
      <c r="H44" s="289">
        <f t="shared" si="7"/>
        <v>0</v>
      </c>
      <c r="I44" s="285">
        <f t="shared" si="7"/>
        <v>1</v>
      </c>
      <c r="J44" s="290">
        <f t="shared" si="7"/>
        <v>0</v>
      </c>
      <c r="K44" s="289">
        <f t="shared" si="7"/>
        <v>0</v>
      </c>
      <c r="L44" s="285">
        <f t="shared" si="7"/>
        <v>1</v>
      </c>
      <c r="M44" s="290"/>
      <c r="N44" s="291"/>
      <c r="O44" s="337">
        <f>N14</f>
        <v>6292.5</v>
      </c>
      <c r="P44" s="470"/>
      <c r="Q44" s="292">
        <f>Q14</f>
        <v>0</v>
      </c>
      <c r="R44" s="292">
        <f>R14</f>
        <v>0</v>
      </c>
      <c r="S44" s="293"/>
      <c r="T44" s="494"/>
    </row>
    <row r="45" spans="1:23" s="273" customFormat="1" x14ac:dyDescent="0.25">
      <c r="A45" s="269"/>
      <c r="B45" s="269" t="s">
        <v>56</v>
      </c>
      <c r="C45" s="269"/>
      <c r="D45" s="266"/>
      <c r="E45" s="266"/>
      <c r="F45" s="269"/>
      <c r="G45" s="269"/>
      <c r="H45" s="269"/>
      <c r="I45" s="269"/>
      <c r="J45" s="269"/>
      <c r="K45" s="269"/>
      <c r="L45" s="270">
        <f>SUM(L36:L44)</f>
        <v>19.5</v>
      </c>
      <c r="M45" s="270"/>
      <c r="N45" s="278"/>
      <c r="O45" s="271">
        <f>SUM(O36:O44)</f>
        <v>13230</v>
      </c>
      <c r="P45" s="334" t="s">
        <v>1</v>
      </c>
      <c r="Q45" s="272">
        <f>Q36+Q38+Q40+Q42</f>
        <v>0</v>
      </c>
      <c r="R45" s="272">
        <f>R36+R38+R40+R42</f>
        <v>0</v>
      </c>
      <c r="S45" s="272">
        <f>Q45+R45</f>
        <v>0</v>
      </c>
      <c r="T45" s="500"/>
    </row>
    <row r="46" spans="1:23" x14ac:dyDescent="0.25">
      <c r="L46" s="101"/>
      <c r="M46" s="259"/>
      <c r="N46" s="101"/>
      <c r="P46"/>
      <c r="Q46" s="80"/>
      <c r="R46" s="80"/>
      <c r="T46" s="182"/>
    </row>
    <row r="47" spans="1:23" x14ac:dyDescent="0.25">
      <c r="L47" s="336" t="s">
        <v>1</v>
      </c>
      <c r="M47" s="336"/>
      <c r="N47" s="101"/>
      <c r="P47"/>
      <c r="T47" s="494"/>
    </row>
    <row r="48" spans="1:23" x14ac:dyDescent="0.25">
      <c r="L48" s="335" t="s">
        <v>1</v>
      </c>
      <c r="M48" s="335"/>
      <c r="N48" s="101"/>
      <c r="P48"/>
    </row>
    <row r="49" spans="4:16" x14ac:dyDescent="0.25">
      <c r="L49" s="336" t="s">
        <v>1</v>
      </c>
      <c r="M49" s="336"/>
      <c r="N49" s="101"/>
      <c r="P49"/>
    </row>
    <row r="50" spans="4:16" x14ac:dyDescent="0.25">
      <c r="L50" s="101"/>
      <c r="M50" s="259"/>
      <c r="N50" s="101"/>
      <c r="P50"/>
    </row>
    <row r="51" spans="4:16" x14ac:dyDescent="0.25">
      <c r="L51" s="101"/>
      <c r="M51" s="259"/>
      <c r="N51" s="101"/>
      <c r="P51"/>
    </row>
    <row r="52" spans="4:16" x14ac:dyDescent="0.25">
      <c r="L52" s="101"/>
      <c r="M52" s="259"/>
      <c r="N52" s="101"/>
      <c r="P52"/>
    </row>
    <row r="53" spans="4:16" x14ac:dyDescent="0.25">
      <c r="L53" s="101"/>
      <c r="M53" s="259"/>
      <c r="N53" s="101"/>
      <c r="P53"/>
    </row>
    <row r="54" spans="4:16" x14ac:dyDescent="0.25">
      <c r="L54" s="101"/>
      <c r="M54" s="259"/>
      <c r="N54" s="101"/>
      <c r="P54"/>
    </row>
    <row r="55" spans="4:16" x14ac:dyDescent="0.25">
      <c r="D55"/>
      <c r="E55"/>
      <c r="L55" s="101"/>
      <c r="M55" s="259"/>
      <c r="N55" s="101"/>
      <c r="P55"/>
    </row>
    <row r="56" spans="4:16" x14ac:dyDescent="0.25">
      <c r="D56"/>
      <c r="E56"/>
      <c r="L56" s="101"/>
      <c r="M56" s="259"/>
      <c r="N56" s="101"/>
      <c r="P56"/>
    </row>
    <row r="57" spans="4:16" x14ac:dyDescent="0.25">
      <c r="D57"/>
      <c r="E57"/>
      <c r="L57" s="101"/>
      <c r="M57" s="259"/>
      <c r="N57" s="101"/>
      <c r="P57"/>
    </row>
    <row r="58" spans="4:16" x14ac:dyDescent="0.25">
      <c r="D58"/>
      <c r="E58"/>
      <c r="L58" s="101"/>
      <c r="M58" s="259"/>
      <c r="N58" s="101"/>
      <c r="P58"/>
    </row>
    <row r="59" spans="4:16" x14ac:dyDescent="0.25">
      <c r="D59"/>
      <c r="E59"/>
      <c r="L59" s="101"/>
      <c r="M59" s="259"/>
      <c r="N59" s="101"/>
      <c r="P59"/>
    </row>
    <row r="60" spans="4:16" x14ac:dyDescent="0.25">
      <c r="D60"/>
      <c r="E60"/>
      <c r="L60" s="101"/>
      <c r="M60" s="259"/>
      <c r="N60" s="101"/>
      <c r="P60"/>
    </row>
    <row r="61" spans="4:16" x14ac:dyDescent="0.25">
      <c r="D61"/>
      <c r="E61"/>
      <c r="L61" s="101"/>
      <c r="M61" s="259"/>
      <c r="N61" s="101"/>
      <c r="P61"/>
    </row>
    <row r="62" spans="4:16" x14ac:dyDescent="0.25">
      <c r="D62"/>
      <c r="E62"/>
      <c r="L62" s="101"/>
      <c r="M62" s="259"/>
      <c r="N62" s="101"/>
      <c r="P62"/>
    </row>
    <row r="63" spans="4:16" x14ac:dyDescent="0.25">
      <c r="D63"/>
      <c r="E63"/>
      <c r="L63" s="101"/>
      <c r="M63" s="259"/>
      <c r="N63" s="101"/>
      <c r="P63"/>
    </row>
    <row r="64" spans="4:16" x14ac:dyDescent="0.25">
      <c r="D64"/>
      <c r="E64"/>
      <c r="L64" s="101"/>
      <c r="M64" s="259"/>
      <c r="N64" s="101"/>
      <c r="P64"/>
    </row>
    <row r="65" spans="4:16" x14ac:dyDescent="0.25">
      <c r="D65"/>
      <c r="E65"/>
      <c r="L65" s="101"/>
      <c r="M65" s="259"/>
      <c r="N65" s="101"/>
      <c r="P65"/>
    </row>
    <row r="66" spans="4:16" x14ac:dyDescent="0.25">
      <c r="D66"/>
      <c r="E66"/>
      <c r="L66" s="101"/>
      <c r="M66" s="259"/>
      <c r="N66" s="101"/>
      <c r="P66"/>
    </row>
    <row r="67" spans="4:16" x14ac:dyDescent="0.25">
      <c r="D67"/>
      <c r="E67"/>
      <c r="L67" s="101"/>
      <c r="M67" s="259"/>
      <c r="N67" s="101"/>
      <c r="P67"/>
    </row>
    <row r="68" spans="4:16" x14ac:dyDescent="0.25">
      <c r="D68"/>
      <c r="E68"/>
      <c r="L68" s="101"/>
      <c r="M68" s="259"/>
      <c r="N68" s="101"/>
      <c r="P68"/>
    </row>
    <row r="69" spans="4:16" x14ac:dyDescent="0.25">
      <c r="D69"/>
      <c r="E69"/>
      <c r="L69" s="101"/>
      <c r="M69" s="259"/>
      <c r="N69" s="101"/>
      <c r="P69"/>
    </row>
    <row r="70" spans="4:16" x14ac:dyDescent="0.25">
      <c r="D70"/>
      <c r="E70"/>
      <c r="L70" s="101"/>
      <c r="M70" s="259"/>
      <c r="N70" s="101"/>
      <c r="P70"/>
    </row>
    <row r="71" spans="4:16" x14ac:dyDescent="0.25">
      <c r="D71"/>
      <c r="E71"/>
      <c r="L71" s="101"/>
      <c r="M71" s="259"/>
      <c r="N71" s="101"/>
      <c r="P71"/>
    </row>
    <row r="72" spans="4:16" x14ac:dyDescent="0.25">
      <c r="D72"/>
      <c r="E72"/>
      <c r="L72" s="101"/>
      <c r="M72" s="259"/>
      <c r="N72" s="101"/>
      <c r="P72"/>
    </row>
    <row r="73" spans="4:16" x14ac:dyDescent="0.25">
      <c r="D73"/>
      <c r="E73"/>
      <c r="L73" s="101"/>
      <c r="M73" s="259"/>
      <c r="N73" s="101"/>
      <c r="P73"/>
    </row>
    <row r="74" spans="4:16" x14ac:dyDescent="0.25">
      <c r="D74"/>
      <c r="E74"/>
      <c r="L74" s="101"/>
      <c r="M74" s="259"/>
      <c r="N74" s="101"/>
      <c r="P74"/>
    </row>
    <row r="75" spans="4:16" x14ac:dyDescent="0.25">
      <c r="D75"/>
      <c r="E75"/>
      <c r="L75" s="101"/>
      <c r="M75" s="259"/>
      <c r="N75" s="101"/>
      <c r="P75"/>
    </row>
    <row r="76" spans="4:16" x14ac:dyDescent="0.25">
      <c r="D76"/>
      <c r="E76"/>
      <c r="L76" s="101"/>
      <c r="M76" s="259"/>
      <c r="N76" s="101"/>
      <c r="P76"/>
    </row>
    <row r="77" spans="4:16" x14ac:dyDescent="0.25">
      <c r="D77"/>
      <c r="E77"/>
      <c r="L77" s="101"/>
      <c r="M77" s="259"/>
      <c r="N77" s="101"/>
      <c r="P77"/>
    </row>
    <row r="78" spans="4:16" x14ac:dyDescent="0.25">
      <c r="D78"/>
      <c r="E78"/>
      <c r="L78" s="101"/>
      <c r="M78" s="259"/>
      <c r="N78" s="101"/>
      <c r="P78"/>
    </row>
    <row r="79" spans="4:16" x14ac:dyDescent="0.25">
      <c r="D79"/>
      <c r="E79"/>
      <c r="L79" s="101"/>
      <c r="M79" s="259"/>
      <c r="N79" s="101"/>
      <c r="P79"/>
    </row>
    <row r="80" spans="4:16" x14ac:dyDescent="0.25">
      <c r="D80"/>
      <c r="E80"/>
      <c r="L80" s="101"/>
      <c r="M80" s="259"/>
      <c r="N80" s="101"/>
      <c r="P80"/>
    </row>
    <row r="81" spans="4:16" x14ac:dyDescent="0.25">
      <c r="D81"/>
      <c r="E81"/>
      <c r="L81" s="101"/>
      <c r="M81" s="259"/>
      <c r="N81" s="101"/>
      <c r="P81"/>
    </row>
    <row r="82" spans="4:16" x14ac:dyDescent="0.25">
      <c r="D82"/>
      <c r="E82"/>
      <c r="L82" s="101"/>
      <c r="M82" s="259"/>
      <c r="N82" s="101"/>
      <c r="P82"/>
    </row>
    <row r="83" spans="4:16" x14ac:dyDescent="0.25">
      <c r="D83"/>
      <c r="E83"/>
      <c r="L83" s="101"/>
      <c r="M83" s="259"/>
      <c r="N83" s="101"/>
      <c r="P83"/>
    </row>
    <row r="84" spans="4:16" x14ac:dyDescent="0.25">
      <c r="D84"/>
      <c r="E84"/>
      <c r="L84" s="101"/>
      <c r="M84" s="259"/>
      <c r="N84" s="101"/>
      <c r="P84"/>
    </row>
    <row r="85" spans="4:16" x14ac:dyDescent="0.25">
      <c r="D85"/>
      <c r="E85"/>
      <c r="L85" s="101"/>
      <c r="M85" s="259"/>
      <c r="N85" s="101"/>
      <c r="P85"/>
    </row>
    <row r="86" spans="4:16" x14ac:dyDescent="0.25">
      <c r="D86"/>
      <c r="E86"/>
      <c r="L86" s="101"/>
      <c r="M86" s="259"/>
      <c r="N86" s="101"/>
      <c r="P86"/>
    </row>
    <row r="87" spans="4:16" x14ac:dyDescent="0.25">
      <c r="D87"/>
      <c r="E87"/>
      <c r="L87" s="101"/>
      <c r="M87" s="259"/>
      <c r="N87" s="101"/>
      <c r="P87"/>
    </row>
    <row r="88" spans="4:16" x14ac:dyDescent="0.25">
      <c r="D88"/>
      <c r="E88"/>
      <c r="L88" s="101"/>
      <c r="M88" s="259"/>
      <c r="N88" s="101"/>
      <c r="P88"/>
    </row>
    <row r="89" spans="4:16" x14ac:dyDescent="0.25">
      <c r="D89"/>
      <c r="E89"/>
      <c r="L89" s="101"/>
      <c r="M89" s="259"/>
      <c r="N89" s="101"/>
      <c r="P89"/>
    </row>
    <row r="90" spans="4:16" x14ac:dyDescent="0.25">
      <c r="D90"/>
      <c r="E90"/>
      <c r="L90" s="101"/>
      <c r="M90" s="259"/>
      <c r="N90" s="101"/>
      <c r="P90"/>
    </row>
    <row r="91" spans="4:16" x14ac:dyDescent="0.25">
      <c r="D91"/>
      <c r="E91"/>
      <c r="L91" s="101"/>
      <c r="M91" s="259"/>
      <c r="N91" s="101"/>
      <c r="P91"/>
    </row>
    <row r="92" spans="4:16" x14ac:dyDescent="0.25">
      <c r="D92"/>
      <c r="E92"/>
      <c r="L92" s="101"/>
      <c r="M92" s="259"/>
      <c r="N92" s="101"/>
      <c r="P92"/>
    </row>
    <row r="93" spans="4:16" x14ac:dyDescent="0.25">
      <c r="D93"/>
      <c r="E93"/>
      <c r="L93" s="101"/>
      <c r="M93" s="259"/>
      <c r="N93" s="101"/>
      <c r="P93"/>
    </row>
    <row r="94" spans="4:16" x14ac:dyDescent="0.25">
      <c r="D94"/>
      <c r="E94"/>
      <c r="L94" s="101"/>
      <c r="M94" s="259"/>
      <c r="N94" s="101"/>
      <c r="P94"/>
    </row>
    <row r="95" spans="4:16" x14ac:dyDescent="0.25">
      <c r="D95"/>
      <c r="E95"/>
      <c r="L95" s="101"/>
      <c r="M95" s="259"/>
      <c r="N95" s="101"/>
      <c r="P95"/>
    </row>
    <row r="96" spans="4:16" x14ac:dyDescent="0.25">
      <c r="D96"/>
      <c r="E96"/>
      <c r="L96" s="101"/>
      <c r="M96" s="259"/>
      <c r="N96" s="101"/>
      <c r="P96"/>
    </row>
    <row r="97" spans="4:16" x14ac:dyDescent="0.25">
      <c r="D97"/>
      <c r="E97"/>
      <c r="L97" s="101"/>
      <c r="M97" s="259"/>
      <c r="N97" s="101"/>
      <c r="P97"/>
    </row>
    <row r="98" spans="4:16" x14ac:dyDescent="0.25">
      <c r="D98"/>
      <c r="E98"/>
      <c r="L98" s="101"/>
      <c r="M98" s="259"/>
      <c r="N98" s="101"/>
      <c r="P98"/>
    </row>
    <row r="99" spans="4:16" x14ac:dyDescent="0.25">
      <c r="D99"/>
      <c r="E99"/>
      <c r="L99" s="101"/>
      <c r="M99" s="259"/>
      <c r="N99" s="101"/>
      <c r="P99"/>
    </row>
    <row r="100" spans="4:16" x14ac:dyDescent="0.25">
      <c r="D100"/>
      <c r="E100"/>
      <c r="L100" s="101"/>
      <c r="M100" s="259"/>
      <c r="N100" s="101"/>
      <c r="P100"/>
    </row>
    <row r="101" spans="4:16" x14ac:dyDescent="0.25">
      <c r="D101"/>
      <c r="E101"/>
      <c r="L101" s="101"/>
      <c r="M101" s="259"/>
      <c r="N101" s="101"/>
      <c r="P101"/>
    </row>
    <row r="102" spans="4:16" x14ac:dyDescent="0.25">
      <c r="D102"/>
      <c r="E102"/>
      <c r="L102" s="101"/>
      <c r="M102" s="259"/>
      <c r="N102" s="101"/>
      <c r="P102"/>
    </row>
    <row r="103" spans="4:16" x14ac:dyDescent="0.25">
      <c r="D103"/>
      <c r="E103"/>
      <c r="L103" s="101"/>
      <c r="M103" s="259"/>
      <c r="N103" s="101"/>
      <c r="P103"/>
    </row>
    <row r="104" spans="4:16" x14ac:dyDescent="0.25">
      <c r="D104"/>
      <c r="E104"/>
      <c r="L104" s="101"/>
      <c r="M104" s="259"/>
      <c r="N104" s="101"/>
      <c r="P104"/>
    </row>
    <row r="105" spans="4:16" x14ac:dyDescent="0.25">
      <c r="D105"/>
      <c r="E105"/>
      <c r="L105" s="101"/>
      <c r="M105" s="259"/>
      <c r="N105" s="101"/>
      <c r="P105"/>
    </row>
    <row r="106" spans="4:16" x14ac:dyDescent="0.25">
      <c r="D106"/>
      <c r="E106"/>
      <c r="L106" s="101"/>
      <c r="M106" s="259"/>
      <c r="N106" s="101"/>
      <c r="P106"/>
    </row>
    <row r="107" spans="4:16" x14ac:dyDescent="0.25">
      <c r="D107"/>
      <c r="E107"/>
      <c r="L107" s="101"/>
      <c r="M107" s="259"/>
      <c r="N107" s="101"/>
      <c r="P107"/>
    </row>
    <row r="108" spans="4:16" x14ac:dyDescent="0.25">
      <c r="D108"/>
      <c r="E108"/>
      <c r="L108" s="101"/>
      <c r="M108" s="259"/>
      <c r="N108" s="101"/>
      <c r="P108"/>
    </row>
    <row r="109" spans="4:16" x14ac:dyDescent="0.25">
      <c r="D109"/>
      <c r="E109"/>
      <c r="L109" s="101"/>
      <c r="M109" s="259"/>
      <c r="N109" s="101"/>
      <c r="P109"/>
    </row>
    <row r="110" spans="4:16" x14ac:dyDescent="0.25">
      <c r="D110"/>
      <c r="E110"/>
      <c r="L110" s="101"/>
      <c r="M110" s="259"/>
      <c r="N110" s="101"/>
      <c r="P110"/>
    </row>
    <row r="111" spans="4:16" x14ac:dyDescent="0.25">
      <c r="D111"/>
      <c r="E111"/>
      <c r="L111" s="101"/>
      <c r="M111" s="259"/>
      <c r="N111" s="101"/>
      <c r="P111"/>
    </row>
    <row r="112" spans="4:16" x14ac:dyDescent="0.25">
      <c r="D112"/>
      <c r="E112"/>
      <c r="L112" s="101"/>
      <c r="M112" s="259"/>
      <c r="N112" s="101"/>
      <c r="P112"/>
    </row>
    <row r="113" spans="4:16" x14ac:dyDescent="0.25">
      <c r="D113"/>
      <c r="E113"/>
      <c r="L113" s="101"/>
      <c r="M113" s="259"/>
      <c r="N113" s="101"/>
      <c r="P113"/>
    </row>
    <row r="114" spans="4:16" x14ac:dyDescent="0.25">
      <c r="D114"/>
      <c r="E114"/>
      <c r="L114" s="101"/>
      <c r="M114" s="259"/>
      <c r="N114" s="101"/>
      <c r="P114"/>
    </row>
    <row r="115" spans="4:16" x14ac:dyDescent="0.25">
      <c r="D115"/>
      <c r="E115"/>
      <c r="L115" s="101"/>
      <c r="M115" s="259"/>
      <c r="N115" s="101"/>
      <c r="P115"/>
    </row>
    <row r="116" spans="4:16" x14ac:dyDescent="0.25">
      <c r="D116"/>
      <c r="E116"/>
      <c r="L116" s="101"/>
      <c r="M116" s="259"/>
      <c r="N116" s="101"/>
      <c r="P116"/>
    </row>
    <row r="117" spans="4:16" x14ac:dyDescent="0.25">
      <c r="D117"/>
      <c r="E117"/>
      <c r="L117" s="101"/>
      <c r="M117" s="259"/>
      <c r="N117" s="101"/>
      <c r="P117"/>
    </row>
    <row r="118" spans="4:16" x14ac:dyDescent="0.25">
      <c r="D118"/>
      <c r="E118"/>
      <c r="L118" s="101"/>
      <c r="M118" s="259"/>
      <c r="N118" s="101"/>
      <c r="P118"/>
    </row>
    <row r="119" spans="4:16" x14ac:dyDescent="0.25">
      <c r="D119"/>
      <c r="E119"/>
      <c r="L119" s="101"/>
      <c r="M119" s="259"/>
      <c r="N119" s="101"/>
      <c r="P119"/>
    </row>
    <row r="120" spans="4:16" x14ac:dyDescent="0.25">
      <c r="D120"/>
      <c r="E120"/>
      <c r="L120" s="101"/>
      <c r="M120" s="259"/>
      <c r="N120" s="101"/>
      <c r="P120"/>
    </row>
    <row r="121" spans="4:16" x14ac:dyDescent="0.25">
      <c r="D121"/>
      <c r="E121"/>
      <c r="L121" s="101"/>
      <c r="M121" s="259"/>
      <c r="N121" s="101"/>
      <c r="P121"/>
    </row>
    <row r="122" spans="4:16" x14ac:dyDescent="0.25">
      <c r="D122"/>
      <c r="E122"/>
      <c r="L122" s="101"/>
      <c r="M122" s="259"/>
      <c r="N122" s="101"/>
      <c r="P122"/>
    </row>
    <row r="123" spans="4:16" x14ac:dyDescent="0.25">
      <c r="D123"/>
      <c r="E123"/>
      <c r="L123" s="101"/>
      <c r="M123" s="259"/>
      <c r="N123" s="101"/>
      <c r="P123"/>
    </row>
    <row r="124" spans="4:16" x14ac:dyDescent="0.25">
      <c r="D124"/>
      <c r="E124"/>
      <c r="L124" s="101"/>
      <c r="M124" s="259"/>
      <c r="N124" s="101"/>
      <c r="P124"/>
    </row>
    <row r="125" spans="4:16" x14ac:dyDescent="0.25">
      <c r="D125"/>
      <c r="E125"/>
      <c r="L125" s="101"/>
      <c r="M125" s="259"/>
      <c r="N125" s="101"/>
      <c r="P125"/>
    </row>
    <row r="126" spans="4:16" x14ac:dyDescent="0.25">
      <c r="D126"/>
      <c r="E126"/>
      <c r="L126" s="101"/>
      <c r="M126" s="259"/>
      <c r="N126" s="101"/>
      <c r="P126"/>
    </row>
    <row r="127" spans="4:16" x14ac:dyDescent="0.25">
      <c r="D127"/>
      <c r="E127"/>
      <c r="L127" s="101"/>
      <c r="M127" s="259"/>
      <c r="N127" s="101"/>
      <c r="P127"/>
    </row>
    <row r="128" spans="4:16" x14ac:dyDescent="0.25">
      <c r="D128"/>
      <c r="E128"/>
      <c r="L128" s="101"/>
      <c r="M128" s="259"/>
      <c r="N128" s="101"/>
      <c r="P128"/>
    </row>
    <row r="129" spans="4:16" x14ac:dyDescent="0.25">
      <c r="D129"/>
      <c r="E129"/>
      <c r="L129" s="101"/>
      <c r="M129" s="259"/>
      <c r="N129" s="101"/>
      <c r="P129"/>
    </row>
    <row r="130" spans="4:16" x14ac:dyDescent="0.25">
      <c r="D130"/>
      <c r="E130"/>
      <c r="L130" s="101"/>
      <c r="M130" s="259"/>
      <c r="N130" s="101"/>
      <c r="P130"/>
    </row>
    <row r="131" spans="4:16" x14ac:dyDescent="0.25">
      <c r="D131"/>
      <c r="E131"/>
      <c r="L131" s="101"/>
      <c r="M131" s="259"/>
      <c r="N131" s="101"/>
      <c r="P131"/>
    </row>
    <row r="132" spans="4:16" x14ac:dyDescent="0.25">
      <c r="D132"/>
      <c r="E132"/>
      <c r="L132" s="101"/>
      <c r="M132" s="259"/>
      <c r="N132" s="101"/>
      <c r="P132"/>
    </row>
    <row r="133" spans="4:16" x14ac:dyDescent="0.25">
      <c r="D133"/>
      <c r="E133"/>
      <c r="L133" s="101"/>
      <c r="M133" s="259"/>
      <c r="N133" s="101"/>
      <c r="P133"/>
    </row>
    <row r="134" spans="4:16" x14ac:dyDescent="0.25">
      <c r="D134"/>
      <c r="E134"/>
      <c r="L134" s="101"/>
      <c r="M134" s="259"/>
      <c r="N134" s="101"/>
      <c r="P134"/>
    </row>
    <row r="135" spans="4:16" x14ac:dyDescent="0.25">
      <c r="D135"/>
      <c r="E135"/>
      <c r="L135" s="101"/>
      <c r="M135" s="259"/>
      <c r="N135" s="101"/>
      <c r="P135"/>
    </row>
    <row r="136" spans="4:16" x14ac:dyDescent="0.25">
      <c r="D136"/>
      <c r="E136"/>
      <c r="L136" s="101"/>
      <c r="M136" s="259"/>
      <c r="N136" s="101"/>
      <c r="P136"/>
    </row>
    <row r="137" spans="4:16" x14ac:dyDescent="0.25">
      <c r="D137"/>
      <c r="E137"/>
      <c r="L137" s="101"/>
      <c r="M137" s="259"/>
      <c r="N137" s="101"/>
      <c r="P137"/>
    </row>
    <row r="138" spans="4:16" x14ac:dyDescent="0.25">
      <c r="D138"/>
      <c r="E138"/>
      <c r="L138" s="101"/>
      <c r="M138" s="259"/>
      <c r="N138" s="101"/>
      <c r="P138"/>
    </row>
    <row r="139" spans="4:16" x14ac:dyDescent="0.25">
      <c r="D139"/>
      <c r="E139"/>
      <c r="L139" s="101"/>
      <c r="M139" s="259"/>
      <c r="N139" s="101"/>
      <c r="P139"/>
    </row>
    <row r="140" spans="4:16" x14ac:dyDescent="0.25">
      <c r="D140"/>
      <c r="E140"/>
      <c r="L140" s="101"/>
      <c r="M140" s="259"/>
      <c r="N140" s="101"/>
      <c r="P140"/>
    </row>
    <row r="141" spans="4:16" x14ac:dyDescent="0.25">
      <c r="D141"/>
      <c r="E141"/>
      <c r="L141" s="101"/>
      <c r="M141" s="259"/>
      <c r="N141" s="101"/>
      <c r="P141"/>
    </row>
    <row r="142" spans="4:16" x14ac:dyDescent="0.25">
      <c r="D142"/>
      <c r="E142"/>
      <c r="L142" s="101"/>
      <c r="M142" s="259"/>
      <c r="N142" s="101"/>
      <c r="P142"/>
    </row>
    <row r="143" spans="4:16" x14ac:dyDescent="0.25">
      <c r="D143"/>
      <c r="E143"/>
      <c r="L143" s="101"/>
      <c r="M143" s="259"/>
      <c r="N143" s="101"/>
      <c r="P143"/>
    </row>
    <row r="144" spans="4:16" x14ac:dyDescent="0.25">
      <c r="D144"/>
      <c r="E144"/>
      <c r="L144" s="101"/>
      <c r="M144" s="259"/>
      <c r="N144" s="101"/>
      <c r="P144"/>
    </row>
    <row r="145" spans="4:16" x14ac:dyDescent="0.25">
      <c r="D145"/>
      <c r="E145"/>
      <c r="L145" s="101"/>
      <c r="M145" s="259"/>
      <c r="N145" s="101"/>
      <c r="P145"/>
    </row>
    <row r="146" spans="4:16" x14ac:dyDescent="0.25">
      <c r="D146"/>
      <c r="E146"/>
      <c r="L146" s="101"/>
      <c r="M146" s="259"/>
      <c r="N146" s="101"/>
      <c r="P146"/>
    </row>
    <row r="147" spans="4:16" x14ac:dyDescent="0.25">
      <c r="D147"/>
      <c r="E147"/>
      <c r="L147" s="101"/>
      <c r="M147" s="259"/>
      <c r="N147" s="101"/>
      <c r="P147"/>
    </row>
    <row r="148" spans="4:16" x14ac:dyDescent="0.25">
      <c r="D148"/>
      <c r="E148"/>
      <c r="L148" s="101"/>
      <c r="M148" s="259"/>
      <c r="N148" s="101"/>
      <c r="P148"/>
    </row>
    <row r="149" spans="4:16" x14ac:dyDescent="0.25">
      <c r="D149"/>
      <c r="E149"/>
      <c r="L149" s="101"/>
      <c r="M149" s="259"/>
      <c r="N149" s="101"/>
      <c r="P149"/>
    </row>
    <row r="150" spans="4:16" x14ac:dyDescent="0.25">
      <c r="D150"/>
      <c r="E150"/>
      <c r="L150" s="101"/>
      <c r="M150" s="259"/>
      <c r="N150" s="101"/>
      <c r="P150"/>
    </row>
    <row r="151" spans="4:16" x14ac:dyDescent="0.25">
      <c r="D151"/>
      <c r="E151"/>
      <c r="L151" s="101"/>
      <c r="M151" s="259"/>
      <c r="N151" s="101"/>
      <c r="P151"/>
    </row>
    <row r="152" spans="4:16" x14ac:dyDescent="0.25">
      <c r="D152"/>
      <c r="E152"/>
      <c r="L152" s="101"/>
      <c r="M152" s="259"/>
      <c r="N152" s="101"/>
      <c r="P152"/>
    </row>
    <row r="153" spans="4:16" x14ac:dyDescent="0.25">
      <c r="D153"/>
      <c r="E153"/>
      <c r="L153" s="101"/>
      <c r="M153" s="259"/>
      <c r="N153" s="101"/>
      <c r="P153"/>
    </row>
    <row r="154" spans="4:16" x14ac:dyDescent="0.25">
      <c r="D154"/>
      <c r="E154"/>
      <c r="L154" s="101"/>
      <c r="M154" s="259"/>
      <c r="N154" s="101"/>
      <c r="P154"/>
    </row>
    <row r="155" spans="4:16" x14ac:dyDescent="0.25">
      <c r="D155"/>
      <c r="E155"/>
      <c r="L155" s="101"/>
      <c r="M155" s="259"/>
      <c r="N155" s="101"/>
      <c r="P155"/>
    </row>
    <row r="156" spans="4:16" x14ac:dyDescent="0.25">
      <c r="D156"/>
      <c r="E156"/>
      <c r="L156" s="101"/>
      <c r="M156" s="259"/>
      <c r="N156" s="101"/>
      <c r="P156"/>
    </row>
    <row r="157" spans="4:16" x14ac:dyDescent="0.25">
      <c r="D157"/>
      <c r="E157"/>
      <c r="L157" s="101"/>
      <c r="M157" s="259"/>
      <c r="N157" s="101"/>
      <c r="P157"/>
    </row>
    <row r="158" spans="4:16" x14ac:dyDescent="0.25">
      <c r="D158"/>
      <c r="E158"/>
      <c r="L158" s="101"/>
      <c r="M158" s="259"/>
      <c r="N158" s="101"/>
      <c r="P158"/>
    </row>
    <row r="159" spans="4:16" x14ac:dyDescent="0.25">
      <c r="D159"/>
      <c r="E159"/>
      <c r="L159" s="101"/>
      <c r="M159" s="259"/>
      <c r="N159" s="101"/>
      <c r="P159"/>
    </row>
    <row r="160" spans="4:16" x14ac:dyDescent="0.25">
      <c r="D160"/>
      <c r="E160"/>
      <c r="L160" s="101"/>
      <c r="M160" s="259"/>
      <c r="N160" s="101"/>
      <c r="P160"/>
    </row>
    <row r="161" spans="4:16" x14ac:dyDescent="0.25">
      <c r="D161"/>
      <c r="E161"/>
      <c r="L161" s="101"/>
      <c r="M161" s="259"/>
      <c r="N161" s="101"/>
      <c r="P161"/>
    </row>
    <row r="162" spans="4:16" x14ac:dyDescent="0.25">
      <c r="D162"/>
      <c r="E162"/>
      <c r="L162" s="101"/>
      <c r="M162" s="259"/>
      <c r="N162" s="101"/>
      <c r="P162"/>
    </row>
    <row r="163" spans="4:16" x14ac:dyDescent="0.25">
      <c r="D163"/>
      <c r="E163"/>
      <c r="L163" s="101"/>
      <c r="M163" s="259"/>
      <c r="N163" s="101"/>
      <c r="P163"/>
    </row>
    <row r="164" spans="4:16" x14ac:dyDescent="0.25">
      <c r="D164"/>
      <c r="E164"/>
      <c r="L164" s="101"/>
      <c r="M164" s="259"/>
      <c r="N164" s="101"/>
      <c r="P164"/>
    </row>
    <row r="165" spans="4:16" x14ac:dyDescent="0.25">
      <c r="D165"/>
      <c r="E165"/>
      <c r="L165" s="101"/>
      <c r="M165" s="259"/>
      <c r="N165" s="101"/>
      <c r="P165"/>
    </row>
    <row r="166" spans="4:16" x14ac:dyDescent="0.25">
      <c r="D166"/>
      <c r="E166"/>
      <c r="L166" s="101"/>
      <c r="M166" s="259"/>
      <c r="N166" s="101"/>
      <c r="P166"/>
    </row>
    <row r="167" spans="4:16" x14ac:dyDescent="0.25">
      <c r="D167"/>
      <c r="E167"/>
      <c r="L167" s="101"/>
      <c r="M167" s="259"/>
      <c r="N167" s="101"/>
      <c r="P167"/>
    </row>
    <row r="168" spans="4:16" x14ac:dyDescent="0.25">
      <c r="D168"/>
      <c r="E168"/>
      <c r="L168" s="101"/>
      <c r="M168" s="259"/>
      <c r="N168" s="101"/>
      <c r="P168"/>
    </row>
    <row r="169" spans="4:16" x14ac:dyDescent="0.25">
      <c r="D169"/>
      <c r="E169"/>
      <c r="L169" s="101"/>
      <c r="M169" s="259"/>
      <c r="N169" s="101"/>
      <c r="P169"/>
    </row>
    <row r="170" spans="4:16" x14ac:dyDescent="0.25">
      <c r="D170"/>
      <c r="E170"/>
      <c r="L170" s="101"/>
      <c r="M170" s="259"/>
      <c r="N170" s="101"/>
      <c r="P170"/>
    </row>
    <row r="171" spans="4:16" x14ac:dyDescent="0.25">
      <c r="D171"/>
      <c r="E171"/>
      <c r="L171" s="101"/>
      <c r="M171" s="259"/>
      <c r="N171" s="101"/>
      <c r="P171"/>
    </row>
    <row r="172" spans="4:16" x14ac:dyDescent="0.25">
      <c r="D172"/>
      <c r="E172"/>
      <c r="L172" s="101"/>
      <c r="M172" s="259"/>
      <c r="N172" s="101"/>
      <c r="P172"/>
    </row>
    <row r="173" spans="4:16" x14ac:dyDescent="0.25">
      <c r="D173"/>
      <c r="E173"/>
      <c r="L173" s="101"/>
      <c r="M173" s="259"/>
      <c r="N173" s="101"/>
      <c r="P173"/>
    </row>
    <row r="174" spans="4:16" x14ac:dyDescent="0.25">
      <c r="D174"/>
      <c r="E174"/>
      <c r="L174" s="101"/>
      <c r="M174" s="259"/>
      <c r="N174" s="101"/>
      <c r="P174"/>
    </row>
    <row r="175" spans="4:16" x14ac:dyDescent="0.25">
      <c r="D175"/>
      <c r="E175"/>
      <c r="L175" s="101"/>
      <c r="M175" s="259"/>
      <c r="N175" s="101"/>
      <c r="P175"/>
    </row>
    <row r="176" spans="4:16" x14ac:dyDescent="0.25">
      <c r="D176"/>
      <c r="E176"/>
      <c r="L176" s="101"/>
      <c r="M176" s="259"/>
      <c r="N176" s="101"/>
      <c r="P176"/>
    </row>
    <row r="177" spans="4:16" x14ac:dyDescent="0.25">
      <c r="D177"/>
      <c r="E177"/>
      <c r="L177" s="101"/>
      <c r="M177" s="259"/>
      <c r="N177" s="101"/>
      <c r="P177"/>
    </row>
    <row r="178" spans="4:16" x14ac:dyDescent="0.25">
      <c r="D178"/>
      <c r="E178"/>
      <c r="L178" s="101"/>
      <c r="M178" s="259"/>
      <c r="N178" s="101"/>
      <c r="P178"/>
    </row>
    <row r="179" spans="4:16" x14ac:dyDescent="0.25">
      <c r="D179"/>
      <c r="E179"/>
      <c r="L179" s="101"/>
      <c r="M179" s="259"/>
      <c r="N179" s="101"/>
      <c r="P179"/>
    </row>
    <row r="180" spans="4:16" x14ac:dyDescent="0.25">
      <c r="D180"/>
      <c r="E180"/>
      <c r="L180" s="101"/>
      <c r="M180" s="259"/>
      <c r="N180" s="101"/>
      <c r="P180"/>
    </row>
    <row r="181" spans="4:16" x14ac:dyDescent="0.25">
      <c r="D181"/>
      <c r="E181"/>
      <c r="L181" s="101"/>
      <c r="M181" s="259"/>
      <c r="N181" s="101"/>
      <c r="P181"/>
    </row>
    <row r="182" spans="4:16" x14ac:dyDescent="0.25">
      <c r="D182"/>
      <c r="E182"/>
      <c r="L182" s="101"/>
      <c r="M182" s="259"/>
      <c r="N182" s="101"/>
      <c r="P182"/>
    </row>
    <row r="183" spans="4:16" x14ac:dyDescent="0.25">
      <c r="D183"/>
      <c r="E183"/>
      <c r="L183" s="101"/>
      <c r="M183" s="259"/>
      <c r="N183" s="101"/>
      <c r="P183"/>
    </row>
    <row r="184" spans="4:16" x14ac:dyDescent="0.25">
      <c r="D184"/>
      <c r="E184"/>
      <c r="L184" s="101"/>
      <c r="M184" s="259"/>
      <c r="N184" s="101"/>
      <c r="P184"/>
    </row>
    <row r="185" spans="4:16" x14ac:dyDescent="0.25">
      <c r="D185"/>
      <c r="E185"/>
      <c r="L185" s="101"/>
      <c r="M185" s="259"/>
      <c r="N185" s="101"/>
      <c r="P185"/>
    </row>
    <row r="186" spans="4:16" x14ac:dyDescent="0.25">
      <c r="D186"/>
      <c r="E186"/>
      <c r="L186" s="101"/>
      <c r="M186" s="259"/>
      <c r="N186" s="101"/>
      <c r="P186"/>
    </row>
    <row r="187" spans="4:16" x14ac:dyDescent="0.25">
      <c r="D187"/>
      <c r="E187"/>
      <c r="L187" s="101"/>
      <c r="M187" s="259"/>
      <c r="N187" s="101"/>
      <c r="P187"/>
    </row>
    <row r="188" spans="4:16" x14ac:dyDescent="0.25">
      <c r="D188"/>
      <c r="E188"/>
      <c r="L188" s="101"/>
      <c r="M188" s="259"/>
      <c r="N188" s="101"/>
      <c r="P188"/>
    </row>
    <row r="189" spans="4:16" x14ac:dyDescent="0.25">
      <c r="D189"/>
      <c r="E189"/>
      <c r="L189" s="101"/>
      <c r="M189" s="259"/>
      <c r="N189" s="101"/>
      <c r="P189"/>
    </row>
    <row r="190" spans="4:16" x14ac:dyDescent="0.25">
      <c r="D190"/>
      <c r="E190"/>
      <c r="L190" s="101"/>
      <c r="M190" s="259"/>
      <c r="N190" s="101"/>
      <c r="P190"/>
    </row>
    <row r="191" spans="4:16" x14ac:dyDescent="0.25">
      <c r="D191"/>
      <c r="E191"/>
      <c r="L191" s="101"/>
      <c r="M191" s="259"/>
      <c r="N191" s="101"/>
      <c r="P191"/>
    </row>
    <row r="192" spans="4:16" x14ac:dyDescent="0.25">
      <c r="D192"/>
      <c r="E192"/>
      <c r="L192" s="101"/>
      <c r="M192" s="259"/>
      <c r="N192" s="101"/>
      <c r="P192"/>
    </row>
    <row r="193" spans="4:16" x14ac:dyDescent="0.25">
      <c r="D193"/>
      <c r="E193"/>
      <c r="L193" s="101"/>
      <c r="M193" s="259"/>
      <c r="N193" s="101"/>
      <c r="P193"/>
    </row>
    <row r="194" spans="4:16" x14ac:dyDescent="0.25">
      <c r="D194"/>
      <c r="E194"/>
      <c r="L194" s="101"/>
      <c r="M194" s="259"/>
      <c r="N194" s="101"/>
      <c r="P194"/>
    </row>
    <row r="195" spans="4:16" x14ac:dyDescent="0.25">
      <c r="D195"/>
      <c r="E195"/>
      <c r="L195" s="101"/>
      <c r="M195" s="259"/>
      <c r="N195" s="101"/>
      <c r="P195"/>
    </row>
    <row r="196" spans="4:16" x14ac:dyDescent="0.25">
      <c r="D196"/>
      <c r="E196"/>
      <c r="L196" s="101"/>
      <c r="M196" s="259"/>
      <c r="N196" s="101"/>
      <c r="P196"/>
    </row>
    <row r="197" spans="4:16" x14ac:dyDescent="0.25">
      <c r="D197"/>
      <c r="E197"/>
      <c r="L197" s="101"/>
      <c r="M197" s="259"/>
      <c r="N197" s="101"/>
      <c r="P197"/>
    </row>
    <row r="198" spans="4:16" x14ac:dyDescent="0.25">
      <c r="D198"/>
      <c r="E198"/>
      <c r="L198" s="101"/>
      <c r="M198" s="259"/>
      <c r="N198" s="101"/>
      <c r="P198"/>
    </row>
    <row r="199" spans="4:16" x14ac:dyDescent="0.25">
      <c r="D199"/>
      <c r="E199"/>
      <c r="L199" s="101"/>
      <c r="M199" s="259"/>
      <c r="N199" s="101"/>
      <c r="P199"/>
    </row>
    <row r="200" spans="4:16" x14ac:dyDescent="0.25">
      <c r="D200"/>
      <c r="E200"/>
      <c r="L200" s="101"/>
      <c r="M200" s="259"/>
      <c r="N200" s="101"/>
      <c r="P200"/>
    </row>
    <row r="201" spans="4:16" x14ac:dyDescent="0.25">
      <c r="D201"/>
      <c r="E201"/>
      <c r="L201" s="101"/>
      <c r="M201" s="259"/>
      <c r="N201" s="101"/>
      <c r="P201"/>
    </row>
    <row r="202" spans="4:16" x14ac:dyDescent="0.25">
      <c r="D202"/>
      <c r="E202"/>
      <c r="L202" s="101"/>
      <c r="M202" s="259"/>
      <c r="N202" s="101"/>
      <c r="P202"/>
    </row>
    <row r="203" spans="4:16" x14ac:dyDescent="0.25">
      <c r="D203"/>
      <c r="E203"/>
      <c r="L203" s="101"/>
      <c r="M203" s="259"/>
      <c r="N203" s="101"/>
      <c r="P203"/>
    </row>
    <row r="204" spans="4:16" x14ac:dyDescent="0.25">
      <c r="D204"/>
      <c r="E204"/>
      <c r="L204" s="101"/>
      <c r="M204" s="259"/>
      <c r="N204" s="101"/>
      <c r="P204"/>
    </row>
    <row r="205" spans="4:16" x14ac:dyDescent="0.25">
      <c r="D205"/>
      <c r="E205"/>
      <c r="L205" s="101"/>
      <c r="M205" s="259"/>
      <c r="N205" s="101"/>
      <c r="P205"/>
    </row>
    <row r="206" spans="4:16" x14ac:dyDescent="0.25">
      <c r="D206"/>
      <c r="E206"/>
      <c r="L206" s="101"/>
      <c r="M206" s="259"/>
      <c r="N206" s="101"/>
      <c r="P206"/>
    </row>
    <row r="207" spans="4:16" x14ac:dyDescent="0.25">
      <c r="D207"/>
      <c r="E207"/>
      <c r="L207" s="101"/>
      <c r="M207" s="259"/>
      <c r="N207" s="101"/>
      <c r="P207"/>
    </row>
    <row r="208" spans="4:16" x14ac:dyDescent="0.25">
      <c r="D208"/>
      <c r="E208"/>
      <c r="L208" s="101"/>
      <c r="M208" s="259"/>
      <c r="N208" s="101"/>
      <c r="P208"/>
    </row>
    <row r="209" spans="4:16" x14ac:dyDescent="0.25">
      <c r="D209"/>
      <c r="E209"/>
      <c r="L209" s="101"/>
      <c r="M209" s="259"/>
      <c r="N209" s="101"/>
      <c r="P209"/>
    </row>
    <row r="210" spans="4:16" x14ac:dyDescent="0.25">
      <c r="D210"/>
      <c r="E210"/>
      <c r="L210" s="101"/>
      <c r="M210" s="259"/>
      <c r="N210" s="101"/>
      <c r="P210"/>
    </row>
    <row r="211" spans="4:16" x14ac:dyDescent="0.25">
      <c r="D211"/>
      <c r="E211"/>
      <c r="L211" s="101"/>
      <c r="M211" s="259"/>
      <c r="N211" s="101"/>
      <c r="P211"/>
    </row>
    <row r="212" spans="4:16" x14ac:dyDescent="0.25">
      <c r="D212"/>
      <c r="E212"/>
      <c r="L212" s="101"/>
      <c r="M212" s="259"/>
      <c r="N212" s="101"/>
      <c r="P212"/>
    </row>
    <row r="213" spans="4:16" x14ac:dyDescent="0.25">
      <c r="D213"/>
      <c r="E213"/>
      <c r="L213" s="101"/>
      <c r="M213" s="259"/>
      <c r="N213" s="101"/>
      <c r="P213"/>
    </row>
    <row r="214" spans="4:16" x14ac:dyDescent="0.25">
      <c r="D214"/>
      <c r="E214"/>
      <c r="L214" s="101"/>
      <c r="M214" s="259"/>
      <c r="N214" s="101"/>
      <c r="P214"/>
    </row>
    <row r="215" spans="4:16" x14ac:dyDescent="0.25">
      <c r="D215"/>
      <c r="E215"/>
      <c r="L215" s="101"/>
      <c r="M215" s="259"/>
      <c r="N215" s="101"/>
      <c r="P215"/>
    </row>
    <row r="216" spans="4:16" x14ac:dyDescent="0.25">
      <c r="D216"/>
      <c r="E216"/>
      <c r="L216" s="101"/>
      <c r="M216" s="259"/>
      <c r="N216" s="101"/>
      <c r="P216"/>
    </row>
    <row r="217" spans="4:16" x14ac:dyDescent="0.25">
      <c r="D217"/>
      <c r="E217"/>
      <c r="L217" s="101"/>
      <c r="M217" s="259"/>
      <c r="N217" s="101"/>
      <c r="P217"/>
    </row>
    <row r="218" spans="4:16" x14ac:dyDescent="0.25">
      <c r="D218"/>
      <c r="E218"/>
      <c r="L218" s="101"/>
      <c r="M218" s="259"/>
      <c r="N218" s="101"/>
      <c r="P218"/>
    </row>
    <row r="219" spans="4:16" x14ac:dyDescent="0.25">
      <c r="D219"/>
      <c r="E219"/>
      <c r="L219" s="101"/>
      <c r="M219" s="259"/>
      <c r="N219" s="101"/>
      <c r="P219"/>
    </row>
    <row r="220" spans="4:16" x14ac:dyDescent="0.25">
      <c r="D220"/>
      <c r="E220"/>
      <c r="L220" s="101"/>
      <c r="M220" s="259"/>
      <c r="N220" s="101"/>
      <c r="P220"/>
    </row>
    <row r="221" spans="4:16" x14ac:dyDescent="0.25">
      <c r="D221"/>
      <c r="E221"/>
      <c r="L221" s="101"/>
      <c r="M221" s="259"/>
      <c r="N221" s="101"/>
      <c r="P221"/>
    </row>
    <row r="222" spans="4:16" x14ac:dyDescent="0.25">
      <c r="D222"/>
      <c r="E222"/>
      <c r="L222" s="101"/>
      <c r="M222" s="259"/>
      <c r="N222" s="101"/>
      <c r="P222"/>
    </row>
    <row r="223" spans="4:16" x14ac:dyDescent="0.25">
      <c r="D223"/>
      <c r="E223"/>
      <c r="L223" s="101"/>
      <c r="M223" s="259"/>
      <c r="N223" s="101"/>
      <c r="P223"/>
    </row>
    <row r="224" spans="4:16" x14ac:dyDescent="0.25">
      <c r="D224"/>
      <c r="E224"/>
      <c r="L224" s="101"/>
      <c r="M224" s="259"/>
      <c r="N224" s="101"/>
      <c r="P224"/>
    </row>
    <row r="225" spans="4:16" x14ac:dyDescent="0.25">
      <c r="D225"/>
      <c r="E225"/>
      <c r="L225" s="101"/>
      <c r="M225" s="259"/>
      <c r="N225" s="101"/>
      <c r="P225"/>
    </row>
    <row r="226" spans="4:16" x14ac:dyDescent="0.25">
      <c r="D226"/>
      <c r="E226"/>
      <c r="L226" s="101"/>
      <c r="M226" s="259"/>
      <c r="N226" s="101"/>
      <c r="P226"/>
    </row>
    <row r="227" spans="4:16" x14ac:dyDescent="0.25">
      <c r="D227"/>
      <c r="E227"/>
      <c r="L227" s="101"/>
      <c r="M227" s="259"/>
      <c r="N227" s="101"/>
      <c r="P227"/>
    </row>
    <row r="228" spans="4:16" x14ac:dyDescent="0.25">
      <c r="D228"/>
      <c r="E228"/>
      <c r="L228" s="101"/>
      <c r="M228" s="259"/>
      <c r="N228" s="101"/>
      <c r="P228"/>
    </row>
    <row r="229" spans="4:16" x14ac:dyDescent="0.25">
      <c r="D229"/>
      <c r="E229"/>
      <c r="L229" s="101"/>
      <c r="M229" s="259"/>
      <c r="N229" s="101"/>
      <c r="P229"/>
    </row>
    <row r="230" spans="4:16" x14ac:dyDescent="0.25">
      <c r="D230"/>
      <c r="E230"/>
      <c r="L230" s="101"/>
      <c r="M230" s="259"/>
      <c r="N230" s="101"/>
      <c r="P230"/>
    </row>
    <row r="231" spans="4:16" x14ac:dyDescent="0.25">
      <c r="D231"/>
      <c r="E231"/>
      <c r="L231" s="101"/>
      <c r="M231" s="259"/>
      <c r="N231" s="101"/>
      <c r="P231"/>
    </row>
    <row r="232" spans="4:16" x14ac:dyDescent="0.25">
      <c r="D232"/>
      <c r="E232"/>
      <c r="L232" s="101"/>
      <c r="M232" s="259"/>
      <c r="N232" s="101"/>
      <c r="P232"/>
    </row>
    <row r="233" spans="4:16" x14ac:dyDescent="0.25">
      <c r="D233"/>
      <c r="E233"/>
      <c r="L233" s="101"/>
      <c r="M233" s="259"/>
      <c r="N233" s="101"/>
      <c r="P233"/>
    </row>
    <row r="234" spans="4:16" x14ac:dyDescent="0.25">
      <c r="D234"/>
      <c r="E234"/>
      <c r="L234" s="101"/>
      <c r="M234" s="259"/>
      <c r="N234" s="101"/>
      <c r="P234"/>
    </row>
    <row r="235" spans="4:16" x14ac:dyDescent="0.25">
      <c r="D235"/>
      <c r="E235"/>
      <c r="L235" s="101"/>
      <c r="M235" s="259"/>
      <c r="N235" s="101"/>
      <c r="P235"/>
    </row>
    <row r="236" spans="4:16" x14ac:dyDescent="0.25">
      <c r="D236"/>
      <c r="E236"/>
      <c r="L236" s="101"/>
      <c r="M236" s="259"/>
      <c r="N236" s="101"/>
      <c r="P236"/>
    </row>
    <row r="237" spans="4:16" x14ac:dyDescent="0.25">
      <c r="D237"/>
      <c r="E237"/>
      <c r="L237" s="101"/>
      <c r="M237" s="259"/>
      <c r="N237" s="101"/>
      <c r="P237"/>
    </row>
    <row r="238" spans="4:16" x14ac:dyDescent="0.25">
      <c r="D238"/>
      <c r="E238"/>
      <c r="L238" s="101"/>
      <c r="M238" s="259"/>
      <c r="N238" s="101"/>
      <c r="P238"/>
    </row>
    <row r="239" spans="4:16" x14ac:dyDescent="0.25">
      <c r="D239"/>
      <c r="E239"/>
      <c r="L239" s="101"/>
      <c r="M239" s="259"/>
      <c r="N239" s="101"/>
      <c r="P239"/>
    </row>
    <row r="240" spans="4:16" x14ac:dyDescent="0.25">
      <c r="D240"/>
      <c r="E240"/>
      <c r="L240" s="101"/>
      <c r="M240" s="259"/>
      <c r="N240" s="101"/>
      <c r="P240"/>
    </row>
    <row r="241" spans="4:16" x14ac:dyDescent="0.25">
      <c r="D241"/>
      <c r="E241"/>
      <c r="L241" s="101"/>
      <c r="M241" s="259"/>
      <c r="N241" s="101"/>
      <c r="P241"/>
    </row>
    <row r="242" spans="4:16" x14ac:dyDescent="0.25">
      <c r="D242"/>
      <c r="E242"/>
      <c r="L242" s="101"/>
      <c r="M242" s="259"/>
      <c r="N242" s="101"/>
      <c r="P242"/>
    </row>
    <row r="243" spans="4:16" x14ac:dyDescent="0.25">
      <c r="D243"/>
      <c r="E243"/>
      <c r="L243" s="101"/>
      <c r="M243" s="259"/>
      <c r="N243" s="101"/>
      <c r="P243"/>
    </row>
    <row r="244" spans="4:16" x14ac:dyDescent="0.25">
      <c r="D244"/>
      <c r="E244"/>
      <c r="L244" s="101"/>
      <c r="M244" s="259"/>
      <c r="N244" s="101"/>
      <c r="P244"/>
    </row>
    <row r="245" spans="4:16" x14ac:dyDescent="0.25">
      <c r="D245"/>
      <c r="E245"/>
      <c r="L245" s="101"/>
      <c r="M245" s="259"/>
      <c r="N245" s="101"/>
      <c r="P245"/>
    </row>
    <row r="246" spans="4:16" x14ac:dyDescent="0.25">
      <c r="D246"/>
      <c r="E246"/>
      <c r="L246" s="101"/>
      <c r="M246" s="259"/>
      <c r="N246" s="101"/>
      <c r="P246"/>
    </row>
    <row r="247" spans="4:16" x14ac:dyDescent="0.25">
      <c r="D247"/>
      <c r="E247"/>
      <c r="L247" s="101"/>
      <c r="M247" s="259"/>
      <c r="N247" s="101"/>
      <c r="P247"/>
    </row>
    <row r="248" spans="4:16" x14ac:dyDescent="0.25">
      <c r="D248"/>
      <c r="E248"/>
      <c r="L248" s="101"/>
      <c r="M248" s="259"/>
      <c r="N248" s="101"/>
      <c r="P248"/>
    </row>
  </sheetData>
  <pageMargins left="0.25" right="0.25" top="0.75" bottom="0.75" header="0.3" footer="0.3"/>
  <pageSetup scale="4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14"/>
  <sheetViews>
    <sheetView workbookViewId="0">
      <selection activeCell="D24" sqref="D24"/>
    </sheetView>
  </sheetViews>
  <sheetFormatPr defaultRowHeight="13.2" x14ac:dyDescent="0.25"/>
  <cols>
    <col min="2" max="2" width="78.109375" bestFit="1" customWidth="1"/>
    <col min="3" max="3" width="15.6640625" bestFit="1" customWidth="1"/>
  </cols>
  <sheetData>
    <row r="1" spans="1:10" x14ac:dyDescent="0.25">
      <c r="B1" s="490" t="s">
        <v>622</v>
      </c>
      <c r="C1" s="490" t="s">
        <v>623</v>
      </c>
    </row>
    <row r="4" spans="1:10" x14ac:dyDescent="0.25">
      <c r="A4">
        <v>1</v>
      </c>
      <c r="B4" t="s">
        <v>616</v>
      </c>
      <c r="C4" s="926">
        <v>44455</v>
      </c>
    </row>
    <row r="5" spans="1:10" x14ac:dyDescent="0.25">
      <c r="A5" s="487">
        <v>2</v>
      </c>
      <c r="B5" t="s">
        <v>617</v>
      </c>
      <c r="C5" s="973">
        <v>44462</v>
      </c>
    </row>
    <row r="6" spans="1:10" s="487" customFormat="1" x14ac:dyDescent="0.25">
      <c r="A6" s="864">
        <v>3</v>
      </c>
      <c r="B6" s="248" t="s">
        <v>627</v>
      </c>
      <c r="C6" s="926">
        <v>44459</v>
      </c>
    </row>
    <row r="7" spans="1:10" x14ac:dyDescent="0.25">
      <c r="A7" s="864">
        <v>4</v>
      </c>
      <c r="B7" t="s">
        <v>618</v>
      </c>
      <c r="C7" s="973">
        <v>44461</v>
      </c>
    </row>
    <row r="8" spans="1:10" x14ac:dyDescent="0.25">
      <c r="A8" s="864">
        <v>5</v>
      </c>
      <c r="B8" t="s">
        <v>635</v>
      </c>
      <c r="C8" s="926">
        <v>44459</v>
      </c>
      <c r="D8" s="956" t="s">
        <v>888</v>
      </c>
      <c r="E8" s="956"/>
      <c r="F8" s="956"/>
      <c r="G8" s="956"/>
      <c r="H8" s="956"/>
      <c r="I8" s="956"/>
      <c r="J8" s="956"/>
    </row>
    <row r="9" spans="1:10" x14ac:dyDescent="0.25">
      <c r="A9" s="864">
        <v>6</v>
      </c>
      <c r="B9" s="866" t="s">
        <v>619</v>
      </c>
      <c r="C9" s="926">
        <v>44467</v>
      </c>
      <c r="D9" s="955"/>
    </row>
    <row r="10" spans="1:10" x14ac:dyDescent="0.25">
      <c r="A10" s="864">
        <v>7</v>
      </c>
      <c r="B10" t="s">
        <v>620</v>
      </c>
      <c r="C10" s="482"/>
    </row>
    <row r="11" spans="1:10" x14ac:dyDescent="0.25">
      <c r="A11" s="864">
        <v>8</v>
      </c>
      <c r="B11" t="s">
        <v>621</v>
      </c>
      <c r="C11" s="926">
        <v>44462</v>
      </c>
      <c r="D11" s="956" t="s">
        <v>900</v>
      </c>
    </row>
    <row r="12" spans="1:10" ht="25.5" customHeight="1" x14ac:dyDescent="0.25">
      <c r="A12" s="864">
        <v>9</v>
      </c>
      <c r="B12" s="180" t="s">
        <v>904</v>
      </c>
      <c r="C12" s="482"/>
    </row>
    <row r="13" spans="1:10" x14ac:dyDescent="0.25">
      <c r="A13" s="864">
        <v>10</v>
      </c>
      <c r="B13" s="866" t="s">
        <v>903</v>
      </c>
      <c r="C13" s="926">
        <v>44467</v>
      </c>
    </row>
    <row r="14" spans="1:10" x14ac:dyDescent="0.25">
      <c r="A14">
        <v>11</v>
      </c>
      <c r="B14" s="866" t="s">
        <v>902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33"/>
  <sheetViews>
    <sheetView zoomScaleNormal="100" workbookViewId="0">
      <selection activeCell="E33" sqref="E33"/>
    </sheetView>
  </sheetViews>
  <sheetFormatPr defaultRowHeight="13.2" x14ac:dyDescent="0.25"/>
  <cols>
    <col min="1" max="1" width="19.6640625" customWidth="1"/>
    <col min="2" max="2" width="12.44140625" customWidth="1"/>
    <col min="3" max="3" width="12.44140625" style="864" customWidth="1"/>
    <col min="4" max="4" width="11.6640625" customWidth="1"/>
    <col min="5" max="5" width="12.33203125" customWidth="1"/>
    <col min="6" max="6" width="12.33203125" style="864" customWidth="1"/>
    <col min="7" max="7" width="11.33203125" bestFit="1" customWidth="1"/>
    <col min="8" max="8" width="10.44140625" style="487" bestFit="1" customWidth="1"/>
    <col min="9" max="9" width="11.33203125" bestFit="1" customWidth="1"/>
    <col min="10" max="12" width="9.33203125" bestFit="1" customWidth="1"/>
    <col min="13" max="13" width="18.33203125" bestFit="1" customWidth="1"/>
    <col min="14" max="14" width="11.5546875" customWidth="1"/>
    <col min="16" max="16" width="10" bestFit="1" customWidth="1"/>
  </cols>
  <sheetData>
    <row r="1" spans="1:17" x14ac:dyDescent="0.25">
      <c r="A1" s="6" t="s">
        <v>854</v>
      </c>
      <c r="E1" s="227" t="s">
        <v>484</v>
      </c>
      <c r="F1" s="227"/>
      <c r="G1" s="228"/>
      <c r="H1" s="228"/>
      <c r="I1" s="228"/>
      <c r="J1" s="228"/>
      <c r="K1" s="228"/>
      <c r="L1" s="228"/>
      <c r="M1" s="228"/>
      <c r="N1" s="228"/>
    </row>
    <row r="2" spans="1:17" x14ac:dyDescent="0.25">
      <c r="A2" t="s">
        <v>440</v>
      </c>
    </row>
    <row r="3" spans="1:17" ht="13.8" thickBot="1" x14ac:dyDescent="0.3"/>
    <row r="4" spans="1:17" ht="12.75" customHeight="1" x14ac:dyDescent="0.25">
      <c r="A4" s="1024" t="s">
        <v>441</v>
      </c>
      <c r="B4" s="1026" t="s">
        <v>833</v>
      </c>
      <c r="C4" s="1026" t="s">
        <v>852</v>
      </c>
      <c r="D4" s="1026" t="s">
        <v>442</v>
      </c>
      <c r="E4" s="1028" t="s">
        <v>890</v>
      </c>
      <c r="F4" s="1028" t="s">
        <v>891</v>
      </c>
      <c r="I4" s="1029" t="s">
        <v>443</v>
      </c>
      <c r="J4" s="143"/>
      <c r="K4" s="143" t="s">
        <v>444</v>
      </c>
      <c r="L4" s="143" t="s">
        <v>445</v>
      </c>
      <c r="M4" s="487"/>
    </row>
    <row r="5" spans="1:17" ht="27" customHeight="1" thickBot="1" x14ac:dyDescent="0.3">
      <c r="A5" s="1025"/>
      <c r="B5" s="1027"/>
      <c r="C5" s="1027"/>
      <c r="D5" s="1027"/>
      <c r="E5" s="1027"/>
      <c r="F5" s="1027"/>
      <c r="G5" s="866" t="s">
        <v>892</v>
      </c>
      <c r="I5" s="1030"/>
      <c r="J5" s="144" t="s">
        <v>446</v>
      </c>
      <c r="K5" s="144" t="s">
        <v>447</v>
      </c>
      <c r="L5" s="144" t="s">
        <v>448</v>
      </c>
      <c r="M5" s="487"/>
      <c r="P5" s="145"/>
    </row>
    <row r="6" spans="1:17" ht="13.8" thickBot="1" x14ac:dyDescent="0.3">
      <c r="A6" s="146" t="s">
        <v>10</v>
      </c>
      <c r="B6" s="147">
        <f>SUM(B7:B15)</f>
        <v>748.00019999999995</v>
      </c>
      <c r="C6" s="957">
        <f>SUM(C7:C15)</f>
        <v>747.66679999999997</v>
      </c>
      <c r="D6" s="888">
        <f>L7</f>
        <v>172.46</v>
      </c>
      <c r="E6" s="148">
        <f>B6*D6</f>
        <v>129000.11</v>
      </c>
      <c r="F6" s="959">
        <f>C6*D6</f>
        <v>128942.62</v>
      </c>
      <c r="G6" s="958">
        <f>E6-F6</f>
        <v>57.49</v>
      </c>
      <c r="I6" s="927">
        <v>15329.22</v>
      </c>
      <c r="J6" s="933">
        <f>I6*0.03</f>
        <v>459.88</v>
      </c>
      <c r="K6" s="933">
        <f>J6*0.75</f>
        <v>344.91</v>
      </c>
      <c r="L6" s="933">
        <f>K6/2</f>
        <v>172.46</v>
      </c>
      <c r="M6" s="929" t="s">
        <v>632</v>
      </c>
    </row>
    <row r="7" spans="1:17" ht="13.8" thickBot="1" x14ac:dyDescent="0.3">
      <c r="A7" s="149" t="s">
        <v>107</v>
      </c>
      <c r="B7" s="722">
        <f>'TT entry &amp; transportation'!K12*2</f>
        <v>165.33330000000001</v>
      </c>
      <c r="C7" s="722">
        <f>83+82.3333</f>
        <v>165.33330000000001</v>
      </c>
      <c r="D7" s="786">
        <f>D6</f>
        <v>172.46</v>
      </c>
      <c r="E7" s="151">
        <f>B7*D7</f>
        <v>28513.38</v>
      </c>
      <c r="F7" s="960">
        <f>14199.2+14314.18</f>
        <v>28513.38</v>
      </c>
      <c r="G7" s="256">
        <f>E7-F7</f>
        <v>0</v>
      </c>
      <c r="H7" s="267" t="s">
        <v>1</v>
      </c>
      <c r="I7" s="715" t="s">
        <v>1</v>
      </c>
      <c r="J7" s="716">
        <v>459.98</v>
      </c>
      <c r="K7" s="716">
        <f>J7*0.75</f>
        <v>344.99</v>
      </c>
      <c r="L7" s="716">
        <v>172.46</v>
      </c>
      <c r="M7" s="717" t="s">
        <v>631</v>
      </c>
      <c r="P7" s="80"/>
      <c r="Q7" s="80"/>
    </row>
    <row r="8" spans="1:17" x14ac:dyDescent="0.25">
      <c r="A8" s="149" t="s">
        <v>103</v>
      </c>
      <c r="B8" s="722">
        <f>'TT entry &amp; transportation'!K13*2</f>
        <v>22.333400000000001</v>
      </c>
      <c r="C8" s="722">
        <f>12+10.3334</f>
        <v>22.333400000000001</v>
      </c>
      <c r="D8" s="786">
        <f t="shared" ref="D8:D15" si="0">D7</f>
        <v>172.46</v>
      </c>
      <c r="E8" s="151">
        <f t="shared" ref="E8:E13" si="1">B8*D8</f>
        <v>3851.62</v>
      </c>
      <c r="F8" s="961">
        <f>1782.08+2069.52</f>
        <v>3851.6</v>
      </c>
      <c r="G8" s="256">
        <f t="shared" ref="G8:G15" si="2">E8-F8</f>
        <v>0.02</v>
      </c>
      <c r="H8" s="267" t="s">
        <v>1</v>
      </c>
      <c r="I8" t="s">
        <v>1</v>
      </c>
      <c r="L8" s="488" t="s">
        <v>1</v>
      </c>
      <c r="P8" s="80"/>
      <c r="Q8" s="80"/>
    </row>
    <row r="9" spans="1:17" x14ac:dyDescent="0.25">
      <c r="A9" s="149" t="s">
        <v>104</v>
      </c>
      <c r="B9" s="722">
        <f>'TT entry &amp; transportation'!K14*2</f>
        <v>55</v>
      </c>
      <c r="C9" s="722">
        <f>28+27</f>
        <v>55</v>
      </c>
      <c r="D9" s="786">
        <f t="shared" si="0"/>
        <v>172.46</v>
      </c>
      <c r="E9" s="151">
        <f t="shared" si="1"/>
        <v>9485.2999999999993</v>
      </c>
      <c r="F9" s="961">
        <f>4656.42+4828.88</f>
        <v>9485.2999999999993</v>
      </c>
      <c r="G9" s="256">
        <f t="shared" si="2"/>
        <v>0</v>
      </c>
      <c r="H9" s="267" t="s">
        <v>1</v>
      </c>
      <c r="P9" s="80"/>
      <c r="Q9" s="80"/>
    </row>
    <row r="10" spans="1:17" x14ac:dyDescent="0.25">
      <c r="A10" s="149" t="s">
        <v>676</v>
      </c>
      <c r="B10" s="722">
        <f>'TT entry &amp; transportation'!K15*2</f>
        <v>64</v>
      </c>
      <c r="C10" s="722">
        <f>32+32</f>
        <v>64</v>
      </c>
      <c r="D10" s="786">
        <f t="shared" si="0"/>
        <v>172.46</v>
      </c>
      <c r="E10" s="151">
        <f t="shared" si="1"/>
        <v>11037.44</v>
      </c>
      <c r="F10" s="961">
        <f>5518.72+5518.72</f>
        <v>11037.44</v>
      </c>
      <c r="G10" s="256">
        <f t="shared" si="2"/>
        <v>0</v>
      </c>
      <c r="H10" s="267" t="s">
        <v>1</v>
      </c>
      <c r="P10" s="80"/>
      <c r="Q10" s="80"/>
    </row>
    <row r="11" spans="1:17" x14ac:dyDescent="0.25">
      <c r="A11" s="149" t="s">
        <v>677</v>
      </c>
      <c r="B11" s="935">
        <f>'TT entry &amp; transportation'!K16*2</f>
        <v>30.333400000000001</v>
      </c>
      <c r="C11" s="935">
        <f>15.6667+14.3333</f>
        <v>30</v>
      </c>
      <c r="D11" s="786">
        <f t="shared" si="0"/>
        <v>172.46</v>
      </c>
      <c r="E11" s="151">
        <f>B11*D11</f>
        <v>5231.3</v>
      </c>
      <c r="F11" s="962">
        <f>2471.92+2701.87</f>
        <v>5173.79</v>
      </c>
      <c r="G11" s="889">
        <f t="shared" si="2"/>
        <v>57.51</v>
      </c>
      <c r="H11" s="866" t="s">
        <v>889</v>
      </c>
      <c r="I11" s="866"/>
      <c r="P11" s="80"/>
      <c r="Q11" s="80"/>
    </row>
    <row r="12" spans="1:17" x14ac:dyDescent="0.25">
      <c r="A12" s="149" t="s">
        <v>159</v>
      </c>
      <c r="B12" s="722">
        <f>'TT entry &amp; transportation'!K17*2</f>
        <v>224.0001</v>
      </c>
      <c r="C12" s="722">
        <f>112.0001+112</f>
        <v>224.0001</v>
      </c>
      <c r="D12" s="786">
        <f t="shared" si="0"/>
        <v>172.46</v>
      </c>
      <c r="E12" s="151">
        <f t="shared" si="1"/>
        <v>38631.06</v>
      </c>
      <c r="F12" s="961">
        <f>19315.51+19315.5</f>
        <v>38631.01</v>
      </c>
      <c r="G12" s="256">
        <f t="shared" si="2"/>
        <v>0.05</v>
      </c>
      <c r="H12" s="267" t="s">
        <v>1</v>
      </c>
      <c r="I12" t="s">
        <v>1</v>
      </c>
      <c r="J12" t="s">
        <v>1</v>
      </c>
      <c r="P12" s="80"/>
      <c r="Q12" s="80"/>
    </row>
    <row r="13" spans="1:17" s="864" customFormat="1" x14ac:dyDescent="0.25">
      <c r="A13" s="149" t="s">
        <v>102</v>
      </c>
      <c r="B13" s="722">
        <f>'TT entry &amp; transportation'!K18*2</f>
        <v>0</v>
      </c>
      <c r="C13" s="722">
        <v>0</v>
      </c>
      <c r="D13" s="786">
        <f t="shared" si="0"/>
        <v>172.46</v>
      </c>
      <c r="E13" s="151">
        <f t="shared" si="1"/>
        <v>0</v>
      </c>
      <c r="F13" s="961">
        <v>0</v>
      </c>
      <c r="G13" s="256">
        <f t="shared" si="2"/>
        <v>0</v>
      </c>
      <c r="H13" s="267" t="s">
        <v>1</v>
      </c>
      <c r="P13" s="256"/>
      <c r="Q13" s="256"/>
    </row>
    <row r="14" spans="1:17" x14ac:dyDescent="0.25">
      <c r="A14" s="149" t="s">
        <v>321</v>
      </c>
      <c r="B14" s="722">
        <f>'TT entry &amp; transportation'!K19*2</f>
        <v>155.66669999999999</v>
      </c>
      <c r="C14" s="722">
        <f>77+78.6667</f>
        <v>155.66669999999999</v>
      </c>
      <c r="D14" s="786">
        <f>D12</f>
        <v>172.46</v>
      </c>
      <c r="E14" s="151">
        <f>B14*D14</f>
        <v>26846.28</v>
      </c>
      <c r="F14" s="961">
        <f>13566.85+13279.42</f>
        <v>26846.27</v>
      </c>
      <c r="G14" s="256">
        <f t="shared" si="2"/>
        <v>0.01</v>
      </c>
      <c r="H14" s="267" t="s">
        <v>1</v>
      </c>
      <c r="P14" s="80"/>
      <c r="Q14" s="80"/>
    </row>
    <row r="15" spans="1:17" x14ac:dyDescent="0.25">
      <c r="A15" s="149" t="s">
        <v>100</v>
      </c>
      <c r="B15" s="722">
        <f>'TT entry &amp; transportation'!K20*2</f>
        <v>31.333300000000001</v>
      </c>
      <c r="C15" s="722">
        <v>31.333300000000001</v>
      </c>
      <c r="D15" s="786">
        <f t="shared" si="0"/>
        <v>172.46</v>
      </c>
      <c r="E15" s="151">
        <f>B15*D15</f>
        <v>5403.74</v>
      </c>
      <c r="F15" s="961">
        <f>2644.38+2759.36</f>
        <v>5403.74</v>
      </c>
      <c r="G15" s="256">
        <f t="shared" si="2"/>
        <v>0</v>
      </c>
      <c r="H15" s="267" t="s">
        <v>1</v>
      </c>
      <c r="P15" s="80"/>
      <c r="Q15" s="80"/>
    </row>
    <row r="16" spans="1:17" ht="13.8" thickBot="1" x14ac:dyDescent="0.3">
      <c r="A16" s="90"/>
      <c r="B16" s="152"/>
      <c r="C16" s="549"/>
      <c r="D16" s="153" t="s">
        <v>1</v>
      </c>
      <c r="E16" s="154">
        <f>SUM(E7:E15)</f>
        <v>129000.12</v>
      </c>
      <c r="F16" s="963"/>
      <c r="H16" s="256"/>
      <c r="P16" s="80"/>
    </row>
    <row r="17" spans="1:16" ht="13.8" thickBot="1" x14ac:dyDescent="0.3">
      <c r="A17" s="146" t="s">
        <v>40</v>
      </c>
      <c r="B17" s="155">
        <f>SUM(B18:B22)</f>
        <v>152.66669999999999</v>
      </c>
      <c r="C17" s="957">
        <f>SUM(C18:C22)</f>
        <v>152.66669999999999</v>
      </c>
      <c r="D17" s="887">
        <f>L18</f>
        <v>204.92</v>
      </c>
      <c r="E17" s="162">
        <f>D17*C17</f>
        <v>31284.46</v>
      </c>
      <c r="F17" s="964">
        <f>C17*D17</f>
        <v>31284.46</v>
      </c>
      <c r="G17" s="184">
        <f>E17-F17</f>
        <v>0</v>
      </c>
      <c r="I17" s="927">
        <v>22927.54</v>
      </c>
      <c r="J17" s="928">
        <f>I17*0.03</f>
        <v>687.83</v>
      </c>
      <c r="K17" s="928">
        <f>J17*0.75</f>
        <v>515.87</v>
      </c>
      <c r="L17" s="928">
        <f>K17/2</f>
        <v>257.94</v>
      </c>
      <c r="M17" s="929" t="s">
        <v>632</v>
      </c>
      <c r="N17" s="247"/>
      <c r="O17" s="247"/>
      <c r="P17" s="247"/>
    </row>
    <row r="18" spans="1:16" ht="13.8" thickBot="1" x14ac:dyDescent="0.3">
      <c r="A18" s="156" t="s">
        <v>449</v>
      </c>
      <c r="B18" s="722">
        <f>'TT entry &amp; transportation'!K93*2</f>
        <v>12.333299999999999</v>
      </c>
      <c r="C18" s="722">
        <f>6.3333+6</f>
        <v>12.333299999999999</v>
      </c>
      <c r="D18" s="887">
        <f>D17</f>
        <v>204.92</v>
      </c>
      <c r="E18" s="158">
        <f t="shared" ref="E18:E22" si="3">D18*B18</f>
        <v>2527.34</v>
      </c>
      <c r="F18" s="961">
        <f>1229.52+1297.83</f>
        <v>2527.35</v>
      </c>
      <c r="G18" s="184">
        <f t="shared" ref="G18:G22" si="4">E18-F18</f>
        <v>-0.01</v>
      </c>
      <c r="H18" s="267" t="s">
        <v>1</v>
      </c>
      <c r="I18" s="715" t="s">
        <v>1</v>
      </c>
      <c r="J18" s="718">
        <v>546.46</v>
      </c>
      <c r="K18" s="718">
        <f>J18*0.75</f>
        <v>409.85</v>
      </c>
      <c r="L18" s="718">
        <f>K18/2-0.01</f>
        <v>204.92</v>
      </c>
      <c r="M18" s="719" t="s">
        <v>631</v>
      </c>
    </row>
    <row r="19" spans="1:16" x14ac:dyDescent="0.25">
      <c r="A19" s="156" t="s">
        <v>325</v>
      </c>
      <c r="B19" s="722">
        <f>'TT entry &amp; transportation'!K91*2</f>
        <v>0</v>
      </c>
      <c r="C19" s="722">
        <v>0</v>
      </c>
      <c r="D19" s="887">
        <f t="shared" ref="D19:D22" si="5">D18</f>
        <v>204.92</v>
      </c>
      <c r="E19" s="158">
        <f t="shared" si="3"/>
        <v>0</v>
      </c>
      <c r="F19" s="961">
        <v>0</v>
      </c>
      <c r="G19" s="184">
        <f t="shared" si="4"/>
        <v>0</v>
      </c>
      <c r="H19" s="267" t="s">
        <v>1</v>
      </c>
      <c r="L19" s="488" t="s">
        <v>1</v>
      </c>
    </row>
    <row r="20" spans="1:16" x14ac:dyDescent="0.25">
      <c r="A20" s="159" t="s">
        <v>125</v>
      </c>
      <c r="B20" s="722">
        <f>'TT entry &amp; transportation'!K92*2</f>
        <v>74</v>
      </c>
      <c r="C20" s="722">
        <f>36+38</f>
        <v>74</v>
      </c>
      <c r="D20" s="887">
        <f t="shared" si="5"/>
        <v>204.92</v>
      </c>
      <c r="E20" s="158">
        <f t="shared" si="3"/>
        <v>15164.08</v>
      </c>
      <c r="F20" s="961">
        <f>7377.12+7786.96</f>
        <v>15164.08</v>
      </c>
      <c r="G20" s="184">
        <f t="shared" si="4"/>
        <v>0</v>
      </c>
      <c r="H20" s="267" t="s">
        <v>1</v>
      </c>
    </row>
    <row r="21" spans="1:16" x14ac:dyDescent="0.25">
      <c r="A21" s="159" t="s">
        <v>70</v>
      </c>
      <c r="B21" s="722">
        <f>'TT entry &amp; transportation'!K94*2</f>
        <v>29.666699999999999</v>
      </c>
      <c r="C21" s="722">
        <f>15.9999+13.6668</f>
        <v>29.666699999999999</v>
      </c>
      <c r="D21" s="887">
        <f t="shared" si="5"/>
        <v>204.92</v>
      </c>
      <c r="E21" s="158">
        <f t="shared" si="3"/>
        <v>6079.3</v>
      </c>
      <c r="F21" s="961">
        <f>2800.56+3278.73</f>
        <v>6079.29</v>
      </c>
      <c r="G21" s="184">
        <f t="shared" si="4"/>
        <v>0.01</v>
      </c>
      <c r="H21" s="267" t="s">
        <v>1</v>
      </c>
    </row>
    <row r="22" spans="1:16" x14ac:dyDescent="0.25">
      <c r="A22" s="159" t="s">
        <v>126</v>
      </c>
      <c r="B22" s="476">
        <f>('TT entry &amp; transportation'!K95)*2</f>
        <v>36.666699999999999</v>
      </c>
      <c r="C22" s="476">
        <f>19.6667+17</f>
        <v>36.666699999999999</v>
      </c>
      <c r="D22" s="887">
        <f t="shared" si="5"/>
        <v>204.92</v>
      </c>
      <c r="E22" s="158">
        <f t="shared" si="3"/>
        <v>7513.74</v>
      </c>
      <c r="F22" s="961">
        <f>3483.64+4030.09</f>
        <v>7513.73</v>
      </c>
      <c r="G22" s="184">
        <f t="shared" si="4"/>
        <v>0.01</v>
      </c>
      <c r="H22" s="267" t="s">
        <v>1</v>
      </c>
    </row>
    <row r="23" spans="1:16" ht="13.8" thickBot="1" x14ac:dyDescent="0.3">
      <c r="A23" s="90"/>
      <c r="B23" s="152"/>
      <c r="C23" s="549"/>
      <c r="D23" s="576" t="s">
        <v>1</v>
      </c>
      <c r="E23" s="161">
        <f>SUM(E18:E22)</f>
        <v>31284.46</v>
      </c>
      <c r="F23" s="965"/>
      <c r="G23" s="257" t="s">
        <v>1</v>
      </c>
      <c r="H23" s="267" t="s">
        <v>1</v>
      </c>
    </row>
    <row r="24" spans="1:16" ht="13.8" thickBot="1" x14ac:dyDescent="0.3">
      <c r="A24" s="146" t="s">
        <v>44</v>
      </c>
      <c r="B24" s="155">
        <f>SUM(B25:B29)</f>
        <v>44.666699999999999</v>
      </c>
      <c r="C24" s="957">
        <f>SUM(C25:C29)</f>
        <v>44.666699999999999</v>
      </c>
      <c r="D24" s="887">
        <f>L25</f>
        <v>230.6</v>
      </c>
      <c r="E24" s="162">
        <f>D24*C24</f>
        <v>10300.14</v>
      </c>
      <c r="F24" s="964">
        <f>C24*D24</f>
        <v>10300.14</v>
      </c>
      <c r="G24" s="184">
        <f>E24-F24</f>
        <v>0</v>
      </c>
      <c r="I24" s="930">
        <v>20667.96</v>
      </c>
      <c r="J24" s="931">
        <f>I24*0.03</f>
        <v>620.04</v>
      </c>
      <c r="K24" s="931">
        <f>J24*0.75</f>
        <v>465.03</v>
      </c>
      <c r="L24" s="931">
        <f>K24/2</f>
        <v>232.52</v>
      </c>
      <c r="M24" s="932" t="s">
        <v>630</v>
      </c>
      <c r="N24" s="247"/>
      <c r="O24" s="247"/>
      <c r="P24" s="247"/>
    </row>
    <row r="25" spans="1:16" ht="13.8" thickBot="1" x14ac:dyDescent="0.3">
      <c r="A25" s="462" t="s">
        <v>589</v>
      </c>
      <c r="B25" s="475">
        <f>'TT entry &amp; transportation'!K213*2</f>
        <v>15.666700000000001</v>
      </c>
      <c r="C25" s="722">
        <f>7.6667+8</f>
        <v>15.666700000000001</v>
      </c>
      <c r="D25" s="887">
        <f>D24</f>
        <v>230.6</v>
      </c>
      <c r="E25" s="158">
        <f>D25*B25</f>
        <v>3612.74</v>
      </c>
      <c r="F25" s="961">
        <f>1844.8+1767.93</f>
        <v>3612.73</v>
      </c>
      <c r="G25" s="184">
        <f t="shared" ref="G25:G29" si="6">E25-F25</f>
        <v>0.01</v>
      </c>
      <c r="H25" s="267" t="s">
        <v>1</v>
      </c>
      <c r="I25" s="712" t="s">
        <v>1</v>
      </c>
      <c r="J25" s="713">
        <v>614.96</v>
      </c>
      <c r="K25" s="713">
        <f>J25*0.75</f>
        <v>461.22</v>
      </c>
      <c r="L25" s="713">
        <v>230.6</v>
      </c>
      <c r="M25" s="714" t="s">
        <v>631</v>
      </c>
    </row>
    <row r="26" spans="1:16" x14ac:dyDescent="0.25">
      <c r="A26" s="462" t="s">
        <v>590</v>
      </c>
      <c r="B26" s="475">
        <f>'TT entry &amp; transportation'!K210*2</f>
        <v>0</v>
      </c>
      <c r="C26" s="722">
        <v>0</v>
      </c>
      <c r="D26" s="887">
        <f t="shared" ref="D26:D29" si="7">D25</f>
        <v>230.6</v>
      </c>
      <c r="E26" s="158">
        <f t="shared" ref="E26:E29" si="8">D26*B26</f>
        <v>0</v>
      </c>
      <c r="F26" s="961">
        <v>0</v>
      </c>
      <c r="G26" s="184">
        <f t="shared" si="6"/>
        <v>0</v>
      </c>
      <c r="H26" s="267" t="s">
        <v>1</v>
      </c>
    </row>
    <row r="27" spans="1:16" x14ac:dyDescent="0.25">
      <c r="A27" s="462" t="s">
        <v>591</v>
      </c>
      <c r="B27" s="475">
        <f>'TT entry &amp; transportation'!K211*2</f>
        <v>0</v>
      </c>
      <c r="C27" s="722">
        <v>0</v>
      </c>
      <c r="D27" s="887">
        <f t="shared" si="7"/>
        <v>230.6</v>
      </c>
      <c r="E27" s="158">
        <f t="shared" si="8"/>
        <v>0</v>
      </c>
      <c r="F27" s="961">
        <v>0</v>
      </c>
      <c r="G27" s="184">
        <f t="shared" si="6"/>
        <v>0</v>
      </c>
      <c r="H27" s="267" t="s">
        <v>1</v>
      </c>
      <c r="K27" s="256" t="s">
        <v>1</v>
      </c>
      <c r="L27" s="256" t="s">
        <v>1</v>
      </c>
      <c r="M27" t="s">
        <v>1</v>
      </c>
    </row>
    <row r="28" spans="1:16" x14ac:dyDescent="0.25">
      <c r="A28" s="149" t="s">
        <v>450</v>
      </c>
      <c r="B28" s="722">
        <f>'TT entry &amp; transportation'!K212*2</f>
        <v>25</v>
      </c>
      <c r="C28" s="722">
        <f>13+12</f>
        <v>25</v>
      </c>
      <c r="D28" s="887">
        <f t="shared" si="7"/>
        <v>230.6</v>
      </c>
      <c r="E28" s="158">
        <f t="shared" si="8"/>
        <v>5765</v>
      </c>
      <c r="F28" s="961">
        <f>2997.8+2767.2</f>
        <v>5765</v>
      </c>
      <c r="G28" s="184">
        <f t="shared" si="6"/>
        <v>0</v>
      </c>
      <c r="H28" s="267" t="s">
        <v>1</v>
      </c>
    </row>
    <row r="29" spans="1:16" s="487" customFormat="1" x14ac:dyDescent="0.25">
      <c r="A29" s="462" t="s">
        <v>633</v>
      </c>
      <c r="B29" s="493">
        <f>'TT entry &amp; transportation'!K214*2</f>
        <v>4</v>
      </c>
      <c r="C29" s="722">
        <v>4</v>
      </c>
      <c r="D29" s="887">
        <f t="shared" si="7"/>
        <v>230.6</v>
      </c>
      <c r="E29" s="158">
        <f t="shared" si="8"/>
        <v>922.4</v>
      </c>
      <c r="F29" s="961">
        <f>461.2+461.2</f>
        <v>922.4</v>
      </c>
      <c r="G29" s="184">
        <f t="shared" si="6"/>
        <v>0</v>
      </c>
      <c r="H29" s="267" t="s">
        <v>1</v>
      </c>
    </row>
    <row r="30" spans="1:16" ht="13.8" thickBot="1" x14ac:dyDescent="0.3">
      <c r="A30" s="90"/>
      <c r="B30" s="152"/>
      <c r="C30" s="549"/>
      <c r="D30" s="160"/>
      <c r="E30" s="161">
        <f>SUM(E25:E29)</f>
        <v>10300.14</v>
      </c>
      <c r="F30" s="965"/>
      <c r="G30" s="488"/>
      <c r="H30" s="72"/>
    </row>
    <row r="33" spans="2:7" x14ac:dyDescent="0.25">
      <c r="B33" s="251" t="s">
        <v>451</v>
      </c>
      <c r="C33" s="251"/>
      <c r="D33" s="251"/>
      <c r="E33" s="383">
        <f>F6+F17+F24</f>
        <v>170527.22</v>
      </c>
      <c r="F33" s="383"/>
      <c r="G33" s="577" t="s">
        <v>1</v>
      </c>
    </row>
  </sheetData>
  <sortState xmlns:xlrd2="http://schemas.microsoft.com/office/spreadsheetml/2017/richdata2" ref="A25:D28">
    <sortCondition ref="A25:A28"/>
  </sortState>
  <mergeCells count="7">
    <mergeCell ref="A4:A5"/>
    <mergeCell ref="B4:B5"/>
    <mergeCell ref="D4:D5"/>
    <mergeCell ref="E4:E5"/>
    <mergeCell ref="I4:I5"/>
    <mergeCell ref="C4:C5"/>
    <mergeCell ref="F4:F5"/>
  </mergeCells>
  <pageMargins left="0.7" right="0.7" top="0.75" bottom="0.75" header="0.3" footer="0.3"/>
  <pageSetup scale="8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"/>
  <dimension ref="A1:AN97"/>
  <sheetViews>
    <sheetView workbookViewId="0">
      <pane xSplit="1" ySplit="1" topLeftCell="AB2" activePane="bottomRight" state="frozen"/>
      <selection pane="topRight" activeCell="B1" sqref="B1"/>
      <selection pane="bottomLeft" activeCell="A2" sqref="A2"/>
      <selection pane="bottomRight" activeCell="AM15" sqref="AM15"/>
    </sheetView>
  </sheetViews>
  <sheetFormatPr defaultRowHeight="13.2" x14ac:dyDescent="0.25"/>
  <cols>
    <col min="1" max="1" width="17.88671875" bestFit="1" customWidth="1"/>
    <col min="2" max="3" width="11.33203125" customWidth="1"/>
    <col min="4" max="5" width="10.33203125" customWidth="1"/>
    <col min="6" max="6" width="11.33203125" customWidth="1"/>
    <col min="7" max="7" width="12.88671875" customWidth="1"/>
    <col min="8" max="8" width="12.33203125" style="80" customWidth="1"/>
    <col min="9" max="9" width="11.33203125" style="80" customWidth="1"/>
    <col min="10" max="17" width="11.33203125" customWidth="1"/>
    <col min="18" max="18" width="11.6640625" customWidth="1"/>
    <col min="19" max="19" width="11.33203125" customWidth="1"/>
    <col min="20" max="20" width="12.5546875" customWidth="1"/>
    <col min="21" max="22" width="12.33203125" customWidth="1"/>
    <col min="23" max="24" width="11.33203125" customWidth="1"/>
    <col min="25" max="25" width="12.5546875" customWidth="1"/>
    <col min="26" max="29" width="11.33203125" customWidth="1"/>
    <col min="30" max="30" width="12" customWidth="1"/>
    <col min="31" max="32" width="11.33203125" customWidth="1"/>
    <col min="33" max="33" width="12" customWidth="1"/>
    <col min="34" max="34" width="12.5546875" customWidth="1"/>
    <col min="35" max="36" width="11.33203125" customWidth="1"/>
    <col min="37" max="37" width="11.5546875" customWidth="1"/>
    <col min="38" max="38" width="14" bestFit="1" customWidth="1"/>
    <col min="39" max="39" width="18" customWidth="1"/>
  </cols>
  <sheetData>
    <row r="1" spans="1:39" ht="26.4" x14ac:dyDescent="0.25">
      <c r="A1" t="s">
        <v>139</v>
      </c>
      <c r="B1" s="183" t="s">
        <v>64</v>
      </c>
      <c r="C1" s="182" t="s">
        <v>65</v>
      </c>
      <c r="D1" s="182" t="s">
        <v>145</v>
      </c>
      <c r="E1" s="183" t="s">
        <v>135</v>
      </c>
      <c r="F1" s="129" t="s">
        <v>67</v>
      </c>
      <c r="G1" s="182" t="s">
        <v>66</v>
      </c>
      <c r="H1" s="184" t="s">
        <v>76</v>
      </c>
      <c r="I1" s="184" t="s">
        <v>77</v>
      </c>
      <c r="J1" t="s">
        <v>137</v>
      </c>
      <c r="K1" t="s">
        <v>148</v>
      </c>
      <c r="L1" s="3" t="s">
        <v>82</v>
      </c>
      <c r="M1" s="3" t="s">
        <v>156</v>
      </c>
      <c r="N1" t="s">
        <v>132</v>
      </c>
      <c r="O1" s="145" t="s">
        <v>503</v>
      </c>
      <c r="P1" t="s">
        <v>133</v>
      </c>
      <c r="Q1" s="224" t="s">
        <v>481</v>
      </c>
      <c r="R1" s="224" t="s">
        <v>482</v>
      </c>
      <c r="S1" t="s">
        <v>68</v>
      </c>
      <c r="T1" s="224" t="s">
        <v>483</v>
      </c>
      <c r="U1" t="s">
        <v>93</v>
      </c>
      <c r="V1" t="s">
        <v>130</v>
      </c>
      <c r="W1" t="s">
        <v>95</v>
      </c>
      <c r="X1" t="s">
        <v>118</v>
      </c>
      <c r="Y1" s="224" t="s">
        <v>483</v>
      </c>
      <c r="Z1" t="s">
        <v>102</v>
      </c>
      <c r="AA1" t="s">
        <v>134</v>
      </c>
      <c r="AB1" s="182" t="s">
        <v>147</v>
      </c>
      <c r="AC1" t="s">
        <v>75</v>
      </c>
      <c r="AD1" s="222" t="s">
        <v>480</v>
      </c>
      <c r="AE1" t="s">
        <v>72</v>
      </c>
      <c r="AF1" t="s">
        <v>73</v>
      </c>
      <c r="AG1" t="s">
        <v>74</v>
      </c>
      <c r="AH1" t="s">
        <v>136</v>
      </c>
      <c r="AI1" t="s">
        <v>126</v>
      </c>
      <c r="AJ1" t="s">
        <v>85</v>
      </c>
      <c r="AK1" t="s">
        <v>86</v>
      </c>
    </row>
    <row r="2" spans="1:39" x14ac:dyDescent="0.25">
      <c r="A2" s="3" t="s">
        <v>143</v>
      </c>
      <c r="B2" s="5"/>
      <c r="C2" s="69">
        <f>'TT entry &amp; transportation'!P178</f>
        <v>1449.76</v>
      </c>
      <c r="D2" s="5"/>
      <c r="E2" s="5"/>
      <c r="F2" s="5"/>
      <c r="G2" s="5"/>
      <c r="H2" s="81"/>
      <c r="I2" s="81"/>
      <c r="J2" s="5"/>
      <c r="K2" s="5"/>
      <c r="L2" s="5"/>
      <c r="M2" s="5"/>
      <c r="N2" s="5"/>
      <c r="O2" s="5"/>
      <c r="P2" s="9"/>
      <c r="Q2" s="220"/>
      <c r="R2" s="220"/>
      <c r="S2" s="5"/>
      <c r="T2" s="221"/>
      <c r="U2" s="5"/>
      <c r="V2" s="5"/>
      <c r="W2" s="5"/>
      <c r="X2" s="5"/>
      <c r="Y2" s="221"/>
      <c r="Z2" s="5"/>
      <c r="AA2" s="5"/>
      <c r="AB2" s="5"/>
      <c r="AC2" s="5"/>
      <c r="AD2" s="221"/>
      <c r="AE2" s="5"/>
      <c r="AF2" s="5"/>
      <c r="AG2" s="5"/>
      <c r="AH2" s="5"/>
      <c r="AI2" s="5"/>
      <c r="AJ2" s="5"/>
      <c r="AK2" s="5"/>
      <c r="AL2" s="2">
        <f>SUM(B2:AK2)</f>
        <v>1449.76</v>
      </c>
      <c r="AM2" s="3" t="s">
        <v>143</v>
      </c>
    </row>
    <row r="3" spans="1:39" x14ac:dyDescent="0.25">
      <c r="A3" s="3" t="s">
        <v>155</v>
      </c>
      <c r="B3" s="5"/>
      <c r="C3" s="5"/>
      <c r="D3" s="5"/>
      <c r="E3" s="5"/>
      <c r="F3" s="5"/>
      <c r="G3" s="5"/>
      <c r="H3" s="81"/>
      <c r="I3" s="81"/>
      <c r="J3" s="5"/>
      <c r="K3" s="5"/>
      <c r="L3" s="5"/>
      <c r="M3" s="5"/>
      <c r="N3" s="5"/>
      <c r="O3" s="5"/>
      <c r="P3" s="9"/>
      <c r="Q3" s="220"/>
      <c r="R3" s="220"/>
      <c r="S3" s="5"/>
      <c r="T3" s="221"/>
      <c r="U3" s="68">
        <f>'TT entry &amp; transportation'!P97</f>
        <v>16141.8</v>
      </c>
      <c r="V3" s="5"/>
      <c r="W3" s="68">
        <f>'TT entry &amp; transportation'!P117</f>
        <v>166.4</v>
      </c>
      <c r="X3" s="5"/>
      <c r="Y3" s="221"/>
      <c r="Z3" s="5"/>
      <c r="AA3" s="5"/>
      <c r="AB3" s="5"/>
      <c r="AC3" s="5"/>
      <c r="AD3" s="221"/>
      <c r="AE3" s="5"/>
      <c r="AF3" s="5"/>
      <c r="AG3" s="5"/>
      <c r="AH3" s="5"/>
      <c r="AI3" s="5"/>
      <c r="AJ3" s="5"/>
      <c r="AK3" s="5"/>
      <c r="AL3" s="2">
        <f t="shared" ref="AL3:AL36" si="0">SUM(B3:AK3)</f>
        <v>16308.2</v>
      </c>
      <c r="AM3" s="3" t="s">
        <v>155</v>
      </c>
    </row>
    <row r="4" spans="1:39" x14ac:dyDescent="0.25">
      <c r="A4" s="3" t="s">
        <v>166</v>
      </c>
      <c r="B4" s="5"/>
      <c r="C4" s="68">
        <f>'TT entry &amp; transportation'!P179</f>
        <v>416.16</v>
      </c>
      <c r="D4" s="5"/>
      <c r="E4" s="5"/>
      <c r="F4" s="5"/>
      <c r="G4" s="5"/>
      <c r="H4" s="81"/>
      <c r="I4" s="81"/>
      <c r="J4" s="5"/>
      <c r="K4" s="5"/>
      <c r="L4" s="5"/>
      <c r="M4" s="5"/>
      <c r="N4" s="5"/>
      <c r="O4" s="5"/>
      <c r="P4" s="9"/>
      <c r="Q4" s="220"/>
      <c r="R4" s="220"/>
      <c r="S4" s="5"/>
      <c r="T4" s="221"/>
      <c r="U4" s="5"/>
      <c r="V4" s="5"/>
      <c r="W4" s="5"/>
      <c r="X4" s="5"/>
      <c r="Y4" s="221"/>
      <c r="Z4" s="5"/>
      <c r="AA4" s="5"/>
      <c r="AB4" s="5"/>
      <c r="AC4" s="5"/>
      <c r="AD4" s="221"/>
      <c r="AE4" s="5"/>
      <c r="AF4" s="5"/>
      <c r="AG4" s="5"/>
      <c r="AH4" s="5"/>
      <c r="AI4" s="5"/>
      <c r="AJ4" s="5"/>
      <c r="AK4" s="5"/>
      <c r="AL4" s="2">
        <f>SUM(B4:AK4)</f>
        <v>416.16</v>
      </c>
      <c r="AM4" s="3" t="s">
        <v>166</v>
      </c>
    </row>
    <row r="5" spans="1:39" x14ac:dyDescent="0.25">
      <c r="A5" s="3" t="s">
        <v>107</v>
      </c>
      <c r="B5" s="5"/>
      <c r="C5" s="5"/>
      <c r="D5" s="5"/>
      <c r="E5" s="5"/>
      <c r="F5" s="5"/>
      <c r="G5" s="68">
        <f>'TT entry &amp; transportation'!P12</f>
        <v>22484.400000000001</v>
      </c>
      <c r="H5" s="81"/>
      <c r="I5" s="81"/>
      <c r="J5" s="5"/>
      <c r="K5" s="5"/>
      <c r="L5" s="5"/>
      <c r="M5" s="5"/>
      <c r="N5" s="5"/>
      <c r="O5" s="5"/>
      <c r="P5" s="5"/>
      <c r="Q5" s="221"/>
      <c r="R5" s="221"/>
      <c r="S5" s="5"/>
      <c r="T5" s="221"/>
      <c r="U5" s="5"/>
      <c r="V5" s="5"/>
      <c r="W5" s="5"/>
      <c r="X5" s="5"/>
      <c r="Y5" s="221"/>
      <c r="Z5" s="5"/>
      <c r="AA5" s="5"/>
      <c r="AB5" s="5"/>
      <c r="AC5" s="5"/>
      <c r="AD5" s="221"/>
      <c r="AE5" s="5"/>
      <c r="AF5" s="5"/>
      <c r="AG5" s="5"/>
      <c r="AH5" s="5"/>
      <c r="AI5" s="5"/>
      <c r="AJ5" s="5"/>
      <c r="AK5" s="5"/>
      <c r="AL5" s="2">
        <f t="shared" si="0"/>
        <v>22484.400000000001</v>
      </c>
      <c r="AM5" s="3" t="s">
        <v>107</v>
      </c>
    </row>
    <row r="6" spans="1:39" x14ac:dyDescent="0.25">
      <c r="A6" s="3" t="s">
        <v>234</v>
      </c>
      <c r="B6" s="5"/>
      <c r="C6" s="5"/>
      <c r="D6" s="5"/>
      <c r="E6" s="68">
        <f>'TT entry &amp; transportation'!P190</f>
        <v>1179.9000000000001</v>
      </c>
      <c r="F6" s="5"/>
      <c r="G6" s="5"/>
      <c r="H6" s="81"/>
      <c r="I6" s="81"/>
      <c r="J6" s="5"/>
      <c r="K6" s="5"/>
      <c r="L6" s="5"/>
      <c r="M6" s="5"/>
      <c r="N6" s="5"/>
      <c r="O6" s="5"/>
      <c r="P6" s="5"/>
      <c r="Q6" s="221"/>
      <c r="R6" s="221"/>
      <c r="S6" s="5"/>
      <c r="T6" s="221"/>
      <c r="U6" s="8"/>
      <c r="V6" s="5"/>
      <c r="W6" s="5"/>
      <c r="X6" s="5"/>
      <c r="Y6" s="221"/>
      <c r="Z6" s="5"/>
      <c r="AA6" s="5"/>
      <c r="AB6" s="5"/>
      <c r="AC6" s="5"/>
      <c r="AD6" s="221"/>
      <c r="AE6" s="5"/>
      <c r="AF6" s="5"/>
      <c r="AG6" s="5"/>
      <c r="AH6" s="5"/>
      <c r="AI6" s="73">
        <f>'TT entry &amp; transportation'!P209</f>
        <v>0</v>
      </c>
      <c r="AJ6" s="5"/>
      <c r="AK6" s="5"/>
      <c r="AL6" s="2">
        <f t="shared" si="0"/>
        <v>1179.9000000000001</v>
      </c>
      <c r="AM6" s="12" t="s">
        <v>234</v>
      </c>
    </row>
    <row r="7" spans="1:39" s="247" customFormat="1" x14ac:dyDescent="0.25">
      <c r="A7" s="3" t="s">
        <v>600</v>
      </c>
      <c r="B7" s="5"/>
      <c r="C7" s="5"/>
      <c r="D7" s="5"/>
      <c r="E7" s="68">
        <f>'TT entry &amp; transportation'!P191</f>
        <v>304.2</v>
      </c>
      <c r="F7" s="5"/>
      <c r="G7" s="5"/>
      <c r="H7" s="81"/>
      <c r="I7" s="81"/>
      <c r="J7" s="5"/>
      <c r="K7" s="5"/>
      <c r="L7" s="5"/>
      <c r="M7" s="5"/>
      <c r="N7" s="5"/>
      <c r="O7" s="5"/>
      <c r="P7" s="5"/>
      <c r="Q7" s="221"/>
      <c r="R7" s="221"/>
      <c r="S7" s="5"/>
      <c r="T7" s="221"/>
      <c r="U7" s="8"/>
      <c r="V7" s="5"/>
      <c r="W7" s="5"/>
      <c r="X7" s="5"/>
      <c r="Y7" s="221"/>
      <c r="Z7" s="5"/>
      <c r="AA7" s="5"/>
      <c r="AB7" s="5"/>
      <c r="AC7" s="5"/>
      <c r="AD7" s="221"/>
      <c r="AE7" s="5"/>
      <c r="AF7" s="5"/>
      <c r="AG7" s="5"/>
      <c r="AH7" s="5"/>
      <c r="AI7" s="73"/>
      <c r="AJ7" s="5"/>
      <c r="AK7" s="5"/>
      <c r="AL7" s="2">
        <f t="shared" si="0"/>
        <v>304.2</v>
      </c>
      <c r="AM7" s="250" t="s">
        <v>600</v>
      </c>
    </row>
    <row r="8" spans="1:39" x14ac:dyDescent="0.25">
      <c r="A8" s="3" t="s">
        <v>67</v>
      </c>
      <c r="B8" s="5"/>
      <c r="C8" s="5"/>
      <c r="D8" s="5"/>
      <c r="E8" s="5"/>
      <c r="F8" s="5"/>
      <c r="G8" s="5"/>
      <c r="H8" s="81"/>
      <c r="I8" s="81"/>
      <c r="J8" s="5"/>
      <c r="K8" s="5"/>
      <c r="L8" s="5"/>
      <c r="M8" s="5"/>
      <c r="N8" s="68">
        <f>'TT entry &amp; transportation'!P81</f>
        <v>0</v>
      </c>
      <c r="O8" s="5"/>
      <c r="P8" s="5"/>
      <c r="Q8" s="221"/>
      <c r="R8" s="221"/>
      <c r="S8" s="5"/>
      <c r="T8" s="221"/>
      <c r="U8" s="5"/>
      <c r="V8" s="5"/>
      <c r="W8" s="5"/>
      <c r="X8" s="5"/>
      <c r="Y8" s="221"/>
      <c r="Z8" s="68">
        <f>'TT entry &amp; transportation'!P141</f>
        <v>7343</v>
      </c>
      <c r="AA8" s="5"/>
      <c r="AB8" s="5"/>
      <c r="AC8" s="5"/>
      <c r="AD8" s="221"/>
      <c r="AE8" s="5"/>
      <c r="AF8" s="5"/>
      <c r="AG8" s="5"/>
      <c r="AH8" s="5"/>
      <c r="AI8" s="5"/>
      <c r="AJ8" s="5"/>
      <c r="AK8" s="5"/>
      <c r="AL8" s="2">
        <f t="shared" si="0"/>
        <v>7343</v>
      </c>
      <c r="AM8" s="3" t="s">
        <v>67</v>
      </c>
    </row>
    <row r="9" spans="1:39" x14ac:dyDescent="0.25">
      <c r="A9" s="3" t="s">
        <v>66</v>
      </c>
      <c r="B9" s="5"/>
      <c r="C9" s="5"/>
      <c r="D9" s="5"/>
      <c r="E9" s="5"/>
      <c r="F9" s="5"/>
      <c r="G9" s="5"/>
      <c r="H9" s="81"/>
      <c r="I9" s="82">
        <f>'TT entry &amp; transportation'!P41</f>
        <v>0</v>
      </c>
      <c r="J9" s="5"/>
      <c r="K9" s="5"/>
      <c r="L9" s="27"/>
      <c r="M9" s="5"/>
      <c r="N9" s="5"/>
      <c r="O9" s="5"/>
      <c r="P9" s="5"/>
      <c r="Q9" s="221"/>
      <c r="R9" s="221"/>
      <c r="S9" s="5"/>
      <c r="T9" s="221"/>
      <c r="U9" s="68">
        <f>'TT entry &amp; transportation'!P98</f>
        <v>0</v>
      </c>
      <c r="V9" s="5"/>
      <c r="W9" s="27"/>
      <c r="X9" s="5"/>
      <c r="Y9" s="221"/>
      <c r="Z9" s="5"/>
      <c r="AA9" s="5"/>
      <c r="AB9" s="5"/>
      <c r="AC9" s="5"/>
      <c r="AD9" s="221"/>
      <c r="AE9" s="5"/>
      <c r="AF9" s="5"/>
      <c r="AG9" s="5"/>
      <c r="AH9" s="5"/>
      <c r="AI9" s="5"/>
      <c r="AJ9" s="5"/>
      <c r="AK9" s="5"/>
      <c r="AL9" s="2">
        <f t="shared" si="0"/>
        <v>0</v>
      </c>
      <c r="AM9" s="3" t="s">
        <v>66</v>
      </c>
    </row>
    <row r="10" spans="1:39" x14ac:dyDescent="0.25">
      <c r="A10" s="3" t="s">
        <v>127</v>
      </c>
      <c r="B10" s="5"/>
      <c r="C10" s="5"/>
      <c r="D10" s="5"/>
      <c r="E10" s="5"/>
      <c r="F10" s="5"/>
      <c r="G10" s="5"/>
      <c r="H10" s="81"/>
      <c r="I10" s="83"/>
      <c r="J10" s="5"/>
      <c r="K10" s="5"/>
      <c r="L10" s="5"/>
      <c r="M10" s="68">
        <f>'TT entry &amp; transportation'!P72</f>
        <v>0</v>
      </c>
      <c r="N10" s="68">
        <f>'TT entry &amp; transportation'!P75</f>
        <v>0</v>
      </c>
      <c r="O10" s="5"/>
      <c r="P10" s="5"/>
      <c r="Q10" s="221"/>
      <c r="R10" s="221"/>
      <c r="S10" s="5"/>
      <c r="T10" s="221"/>
      <c r="U10" s="5"/>
      <c r="V10" s="68">
        <f>'TT entry &amp; transportation'!P110</f>
        <v>4590</v>
      </c>
      <c r="W10" s="5"/>
      <c r="X10" s="5"/>
      <c r="Y10" s="221"/>
      <c r="Z10" s="5"/>
      <c r="AA10" s="5"/>
      <c r="AB10" s="5"/>
      <c r="AC10" s="5"/>
      <c r="AD10" s="221"/>
      <c r="AE10" s="5"/>
      <c r="AF10" s="5"/>
      <c r="AG10" s="5"/>
      <c r="AH10" s="5"/>
      <c r="AI10" s="5"/>
      <c r="AJ10" s="5"/>
      <c r="AK10" s="5"/>
      <c r="AL10" s="2">
        <f t="shared" si="0"/>
        <v>4590</v>
      </c>
      <c r="AM10" s="3" t="s">
        <v>127</v>
      </c>
    </row>
    <row r="11" spans="1:39" x14ac:dyDescent="0.25">
      <c r="A11" t="s">
        <v>76</v>
      </c>
      <c r="B11" s="5"/>
      <c r="C11" s="5"/>
      <c r="D11" s="5"/>
      <c r="E11" s="5"/>
      <c r="F11" s="5"/>
      <c r="G11" s="5"/>
      <c r="H11" s="379" t="s">
        <v>1</v>
      </c>
      <c r="I11" s="82">
        <f>'TT entry &amp; transportation'!P42</f>
        <v>0</v>
      </c>
      <c r="J11" s="5"/>
      <c r="K11" s="5"/>
      <c r="L11" s="5"/>
      <c r="M11" s="5"/>
      <c r="N11" s="5"/>
      <c r="O11" s="5"/>
      <c r="P11" s="5"/>
      <c r="Q11" s="221"/>
      <c r="R11" s="221"/>
      <c r="S11" s="5"/>
      <c r="T11" s="221"/>
      <c r="U11" s="68">
        <f>'TT entry &amp; transportation'!P99</f>
        <v>2860</v>
      </c>
      <c r="V11" s="5"/>
      <c r="W11" s="5"/>
      <c r="X11" s="5"/>
      <c r="Y11" s="221"/>
      <c r="Z11" s="5"/>
      <c r="AA11" s="5"/>
      <c r="AB11" s="5"/>
      <c r="AC11" s="5"/>
      <c r="AD11" s="221"/>
      <c r="AE11" s="69">
        <f>'TT entry &amp; transportation'!P161</f>
        <v>912.6</v>
      </c>
      <c r="AF11" s="5"/>
      <c r="AG11" s="68">
        <f>'TT entry &amp; transportation'!P171</f>
        <v>600.6</v>
      </c>
      <c r="AH11" s="5"/>
      <c r="AI11" s="5"/>
      <c r="AJ11" s="5"/>
      <c r="AK11" s="5"/>
      <c r="AL11" s="2">
        <f t="shared" si="0"/>
        <v>4373.2</v>
      </c>
      <c r="AM11" t="s">
        <v>76</v>
      </c>
    </row>
    <row r="12" spans="1:39" x14ac:dyDescent="0.25">
      <c r="A12" t="s">
        <v>89</v>
      </c>
      <c r="B12" s="5"/>
      <c r="C12" s="5"/>
      <c r="D12" s="5"/>
      <c r="E12" s="5"/>
      <c r="F12" s="5"/>
      <c r="G12" s="5"/>
      <c r="H12" s="81"/>
      <c r="I12" s="81"/>
      <c r="J12" s="68">
        <f>'TT entry &amp; transportation'!P196</f>
        <v>1788</v>
      </c>
      <c r="K12" s="10"/>
      <c r="L12" s="5"/>
      <c r="M12" s="5"/>
      <c r="N12" s="5"/>
      <c r="O12" s="5"/>
      <c r="P12" s="5"/>
      <c r="Q12" s="221"/>
      <c r="R12" s="221"/>
      <c r="S12" s="5"/>
      <c r="T12" s="221"/>
      <c r="U12" s="5"/>
      <c r="V12" s="5"/>
      <c r="W12" s="5"/>
      <c r="X12" s="5"/>
      <c r="Y12" s="221"/>
      <c r="Z12" s="5"/>
      <c r="AA12" s="5"/>
      <c r="AB12" s="5"/>
      <c r="AC12" s="5"/>
      <c r="AD12" s="221"/>
      <c r="AE12" s="5"/>
      <c r="AF12" s="5"/>
      <c r="AG12" s="5"/>
      <c r="AH12" s="5"/>
      <c r="AI12" s="5"/>
      <c r="AJ12" s="5"/>
      <c r="AK12" s="5"/>
      <c r="AL12" s="2">
        <f t="shared" si="0"/>
        <v>1788</v>
      </c>
      <c r="AM12" t="s">
        <v>89</v>
      </c>
    </row>
    <row r="13" spans="1:39" x14ac:dyDescent="0.25">
      <c r="A13" t="s">
        <v>113</v>
      </c>
      <c r="B13" s="5"/>
      <c r="C13" s="5"/>
      <c r="D13" s="5"/>
      <c r="E13" s="5"/>
      <c r="F13" s="5"/>
      <c r="G13" s="5"/>
      <c r="H13" s="81"/>
      <c r="I13" s="82">
        <f>'TT entry &amp; transportation'!P44</f>
        <v>8969.6</v>
      </c>
      <c r="J13" s="5"/>
      <c r="K13" s="5"/>
      <c r="L13" s="5"/>
      <c r="M13" s="5"/>
      <c r="N13" s="5"/>
      <c r="O13" s="5"/>
      <c r="P13" s="5"/>
      <c r="Q13" s="221"/>
      <c r="R13" s="221"/>
      <c r="S13" s="5"/>
      <c r="T13" s="221"/>
      <c r="U13" s="5"/>
      <c r="V13" s="5"/>
      <c r="W13" s="5"/>
      <c r="X13" s="5"/>
      <c r="Y13" s="221"/>
      <c r="Z13" s="5"/>
      <c r="AA13" s="5"/>
      <c r="AB13" s="5"/>
      <c r="AC13" s="5"/>
      <c r="AD13" s="221"/>
      <c r="AE13" s="5"/>
      <c r="AF13" s="5"/>
      <c r="AG13" s="5"/>
      <c r="AH13" s="5"/>
      <c r="AI13" s="5"/>
      <c r="AJ13" s="5"/>
      <c r="AK13" s="5"/>
      <c r="AL13" s="2">
        <f t="shared" si="0"/>
        <v>8969.6</v>
      </c>
      <c r="AM13" t="s">
        <v>113</v>
      </c>
    </row>
    <row r="14" spans="1:39" x14ac:dyDescent="0.25">
      <c r="A14" t="s">
        <v>77</v>
      </c>
      <c r="B14" s="5"/>
      <c r="C14" s="5"/>
      <c r="D14" s="5"/>
      <c r="E14" s="5"/>
      <c r="F14" s="5"/>
      <c r="G14" s="5"/>
      <c r="H14" s="82">
        <f>'TT entry &amp; transportation'!P28</f>
        <v>640</v>
      </c>
      <c r="I14" s="81"/>
      <c r="J14" s="5"/>
      <c r="K14" s="5"/>
      <c r="L14" s="5"/>
      <c r="M14" s="5"/>
      <c r="N14" s="5"/>
      <c r="O14" s="5"/>
      <c r="P14" s="5"/>
      <c r="Q14" s="221"/>
      <c r="R14" s="221"/>
      <c r="S14" s="5"/>
      <c r="T14" s="221"/>
      <c r="U14" s="68">
        <f>'TT entry &amp; transportation'!P100</f>
        <v>0</v>
      </c>
      <c r="V14" s="5"/>
      <c r="W14" s="5"/>
      <c r="X14" s="27"/>
      <c r="Y14" s="221"/>
      <c r="Z14" s="5"/>
      <c r="AA14" s="5"/>
      <c r="AB14" s="5"/>
      <c r="AC14" s="68">
        <f>'TT entry &amp; transportation'!P152</f>
        <v>682</v>
      </c>
      <c r="AD14" s="221"/>
      <c r="AE14" s="5"/>
      <c r="AF14" s="5"/>
      <c r="AG14" s="5"/>
      <c r="AH14" s="5"/>
      <c r="AI14" s="5"/>
      <c r="AJ14" s="5"/>
      <c r="AK14" s="5"/>
      <c r="AL14" s="2">
        <f t="shared" si="0"/>
        <v>1322</v>
      </c>
      <c r="AM14" t="s">
        <v>77</v>
      </c>
    </row>
    <row r="15" spans="1:39" x14ac:dyDescent="0.25">
      <c r="A15" t="s">
        <v>120</v>
      </c>
      <c r="B15" s="5"/>
      <c r="C15" s="5"/>
      <c r="D15" s="5"/>
      <c r="E15" s="5"/>
      <c r="F15" s="5"/>
      <c r="G15" s="5"/>
      <c r="H15" s="81"/>
      <c r="I15" s="81"/>
      <c r="J15" s="5"/>
      <c r="K15" s="5"/>
      <c r="L15" s="5"/>
      <c r="M15" s="5"/>
      <c r="N15" s="68">
        <f>'TT entry &amp; transportation'!P77</f>
        <v>3168</v>
      </c>
      <c r="O15" s="5"/>
      <c r="P15" s="5"/>
      <c r="Q15" s="221"/>
      <c r="R15" s="221"/>
      <c r="S15" s="5"/>
      <c r="T15" s="221"/>
      <c r="U15" s="5"/>
      <c r="V15" s="5"/>
      <c r="W15" s="5"/>
      <c r="X15" s="5"/>
      <c r="Y15" s="221"/>
      <c r="Z15" s="5"/>
      <c r="AA15" s="5"/>
      <c r="AB15" s="5"/>
      <c r="AC15" s="5"/>
      <c r="AD15" s="221"/>
      <c r="AE15" s="5"/>
      <c r="AF15" s="5"/>
      <c r="AG15" s="5"/>
      <c r="AH15" s="68">
        <f>'TT entry &amp; transportation'!P206</f>
        <v>9900</v>
      </c>
      <c r="AI15" s="5"/>
      <c r="AJ15" s="5"/>
      <c r="AK15" s="5"/>
      <c r="AL15" s="2">
        <f t="shared" si="0"/>
        <v>13068</v>
      </c>
      <c r="AM15" t="s">
        <v>120</v>
      </c>
    </row>
    <row r="16" spans="1:39" x14ac:dyDescent="0.25">
      <c r="A16" t="s">
        <v>78</v>
      </c>
      <c r="B16" s="5"/>
      <c r="C16" s="5"/>
      <c r="D16" s="5"/>
      <c r="E16" s="5"/>
      <c r="F16" s="5"/>
      <c r="G16" s="5"/>
      <c r="H16" s="84">
        <f>'TT entry &amp; transportation'!P29</f>
        <v>342</v>
      </c>
      <c r="I16" s="82">
        <f>'TT entry &amp; transportation'!P45</f>
        <v>0</v>
      </c>
      <c r="J16" s="5"/>
      <c r="K16" s="5"/>
      <c r="L16" s="5"/>
      <c r="M16" s="5"/>
      <c r="N16" s="5"/>
      <c r="O16" s="5"/>
      <c r="P16" s="5"/>
      <c r="Q16" s="221"/>
      <c r="R16" s="221"/>
      <c r="S16" s="5"/>
      <c r="T16" s="221"/>
      <c r="U16" s="5"/>
      <c r="V16" s="5"/>
      <c r="W16" s="5"/>
      <c r="X16" s="5"/>
      <c r="Y16" s="221"/>
      <c r="Z16" s="5"/>
      <c r="AA16" s="5"/>
      <c r="AB16" s="5"/>
      <c r="AC16" s="5"/>
      <c r="AD16" s="221"/>
      <c r="AE16" s="27"/>
      <c r="AF16" s="27"/>
      <c r="AG16" s="27"/>
      <c r="AH16" s="5"/>
      <c r="AI16" s="5"/>
      <c r="AJ16" s="5"/>
      <c r="AK16" s="68">
        <f>'TT entry &amp; transportation'!P223</f>
        <v>8336.7999999999993</v>
      </c>
      <c r="AL16" s="2">
        <f t="shared" si="0"/>
        <v>8678.7999999999993</v>
      </c>
      <c r="AM16" t="s">
        <v>78</v>
      </c>
    </row>
    <row r="17" spans="1:40" x14ac:dyDescent="0.25">
      <c r="A17" t="s">
        <v>79</v>
      </c>
      <c r="B17" s="5"/>
      <c r="C17" s="5"/>
      <c r="D17" s="5"/>
      <c r="E17" s="5"/>
      <c r="F17" s="5"/>
      <c r="G17" s="5"/>
      <c r="H17" s="81"/>
      <c r="I17" s="81"/>
      <c r="J17" s="5"/>
      <c r="K17" s="5"/>
      <c r="L17" s="5"/>
      <c r="M17" s="5"/>
      <c r="N17" s="5"/>
      <c r="O17" s="5"/>
      <c r="P17" s="68">
        <f>'TT entry &amp; transportation'!P84</f>
        <v>5181.8</v>
      </c>
      <c r="Q17" s="68">
        <f>'TT entry &amp; transportation'!P232</f>
        <v>0</v>
      </c>
      <c r="R17" s="221"/>
      <c r="S17" s="5"/>
      <c r="T17" s="221"/>
      <c r="U17" s="5"/>
      <c r="V17" s="5"/>
      <c r="W17" s="5"/>
      <c r="X17" s="5"/>
      <c r="Y17" s="221"/>
      <c r="Z17" s="5"/>
      <c r="AA17" s="5"/>
      <c r="AB17" s="5"/>
      <c r="AC17" s="5"/>
      <c r="AD17" s="221"/>
      <c r="AE17" s="5"/>
      <c r="AF17" s="5"/>
      <c r="AG17" s="5"/>
      <c r="AH17" s="5"/>
      <c r="AI17" s="5"/>
      <c r="AJ17" s="68">
        <f>'TT entry &amp; transportation'!P217</f>
        <v>0</v>
      </c>
      <c r="AK17" s="5"/>
      <c r="AL17" s="2">
        <f>SUM(B17:AK17)-Q17</f>
        <v>5181.8</v>
      </c>
      <c r="AM17" t="s">
        <v>79</v>
      </c>
    </row>
    <row r="18" spans="1:40" x14ac:dyDescent="0.25">
      <c r="A18" t="s">
        <v>124</v>
      </c>
      <c r="B18" s="5"/>
      <c r="C18" s="5"/>
      <c r="D18" s="5"/>
      <c r="E18" s="5"/>
      <c r="F18" s="5"/>
      <c r="G18" s="5"/>
      <c r="H18" s="81"/>
      <c r="I18" s="81"/>
      <c r="J18" s="5"/>
      <c r="K18" s="5"/>
      <c r="L18" s="5"/>
      <c r="M18" s="5"/>
      <c r="N18" s="5"/>
      <c r="O18" s="5"/>
      <c r="P18" s="68">
        <f>'TT entry &amp; transportation'!P85</f>
        <v>9280.7999999999993</v>
      </c>
      <c r="Q18" s="68">
        <f>'TT entry &amp; transportation'!P233</f>
        <v>0</v>
      </c>
      <c r="R18" s="221"/>
      <c r="S18" s="5"/>
      <c r="T18" s="221"/>
      <c r="U18" s="5"/>
      <c r="V18" s="5"/>
      <c r="W18" s="5"/>
      <c r="X18" s="5"/>
      <c r="Y18" s="221"/>
      <c r="Z18" s="5"/>
      <c r="AA18" s="5"/>
      <c r="AB18" s="5"/>
      <c r="AC18" s="5"/>
      <c r="AD18" s="221"/>
      <c r="AE18" s="5"/>
      <c r="AF18" s="5"/>
      <c r="AG18" s="5"/>
      <c r="AH18" s="5"/>
      <c r="AI18" s="5"/>
      <c r="AJ18" s="68">
        <f>'TT entry &amp; transportation'!P218</f>
        <v>0</v>
      </c>
      <c r="AK18" s="5"/>
      <c r="AL18" s="2">
        <f>SUM(B18:AK18)-Q18</f>
        <v>9280.7999999999993</v>
      </c>
      <c r="AM18" t="s">
        <v>124</v>
      </c>
    </row>
    <row r="19" spans="1:40" x14ac:dyDescent="0.25">
      <c r="A19" t="s">
        <v>80</v>
      </c>
      <c r="B19" s="5"/>
      <c r="C19" s="5"/>
      <c r="D19" s="5"/>
      <c r="E19" s="5"/>
      <c r="F19" s="5"/>
      <c r="G19" s="5"/>
      <c r="H19" s="81"/>
      <c r="I19" s="83"/>
      <c r="J19" s="5"/>
      <c r="K19" s="5"/>
      <c r="L19" s="27"/>
      <c r="M19" s="5"/>
      <c r="N19" s="5"/>
      <c r="O19" s="5"/>
      <c r="P19" s="5"/>
      <c r="Q19" s="221"/>
      <c r="R19" s="221"/>
      <c r="S19" s="5"/>
      <c r="T19" s="221"/>
      <c r="U19" s="68">
        <f>'TT entry &amp; transportation'!P101</f>
        <v>30682</v>
      </c>
      <c r="V19" s="5"/>
      <c r="W19" s="68">
        <f>'TT entry &amp; transportation'!P118</f>
        <v>0</v>
      </c>
      <c r="X19" s="5"/>
      <c r="Y19" s="221"/>
      <c r="Z19" s="5"/>
      <c r="AA19" s="5"/>
      <c r="AB19" s="5"/>
      <c r="AC19" s="5"/>
      <c r="AD19" s="221"/>
      <c r="AE19" s="5"/>
      <c r="AF19" s="5"/>
      <c r="AG19" s="5"/>
      <c r="AH19" s="5"/>
      <c r="AI19" s="5"/>
      <c r="AJ19" s="5"/>
      <c r="AK19" s="5"/>
      <c r="AL19" s="13">
        <f t="shared" si="0"/>
        <v>30682</v>
      </c>
      <c r="AM19" t="s">
        <v>80</v>
      </c>
    </row>
    <row r="20" spans="1:40" x14ac:dyDescent="0.25">
      <c r="A20" t="s">
        <v>97</v>
      </c>
      <c r="B20" s="71">
        <f>'TT entry &amp; transportation'!P3</f>
        <v>4445</v>
      </c>
      <c r="C20" s="5"/>
      <c r="D20" s="5"/>
      <c r="E20" s="5"/>
      <c r="F20" s="5"/>
      <c r="G20" s="5"/>
      <c r="H20" s="81"/>
      <c r="I20" s="81"/>
      <c r="J20" s="5"/>
      <c r="K20" s="5"/>
      <c r="L20" s="5"/>
      <c r="M20" s="5"/>
      <c r="N20" s="5"/>
      <c r="O20" s="5"/>
      <c r="P20" s="5"/>
      <c r="Q20" s="221"/>
      <c r="R20" s="221"/>
      <c r="S20" s="5"/>
      <c r="T20" s="221"/>
      <c r="U20" s="5"/>
      <c r="V20" s="5"/>
      <c r="W20" s="5"/>
      <c r="X20" s="5"/>
      <c r="Y20" s="221"/>
      <c r="Z20" s="5"/>
      <c r="AA20" s="5"/>
      <c r="AB20" s="5"/>
      <c r="AC20" s="5"/>
      <c r="AD20" s="221"/>
      <c r="AE20" s="5"/>
      <c r="AF20" s="5"/>
      <c r="AG20" s="5"/>
      <c r="AH20" s="5"/>
      <c r="AI20" s="5"/>
      <c r="AJ20" s="5"/>
      <c r="AK20" s="5"/>
      <c r="AL20" s="2">
        <f t="shared" si="0"/>
        <v>4445</v>
      </c>
      <c r="AM20" t="s">
        <v>97</v>
      </c>
    </row>
    <row r="21" spans="1:40" x14ac:dyDescent="0.25">
      <c r="A21" t="s">
        <v>158</v>
      </c>
      <c r="B21" s="14"/>
      <c r="C21" s="5"/>
      <c r="D21" s="5"/>
      <c r="E21" s="5"/>
      <c r="F21" s="5"/>
      <c r="G21" s="5"/>
      <c r="H21" s="81"/>
      <c r="I21" s="81"/>
      <c r="J21" s="5"/>
      <c r="K21" s="5"/>
      <c r="L21" s="5"/>
      <c r="M21" s="5"/>
      <c r="N21" s="5"/>
      <c r="O21" s="5"/>
      <c r="P21" s="5"/>
      <c r="Q21" s="221"/>
      <c r="R21" s="221"/>
      <c r="S21" s="5"/>
      <c r="T21" s="221"/>
      <c r="U21" s="5"/>
      <c r="V21" s="5"/>
      <c r="W21" s="8"/>
      <c r="X21" s="5"/>
      <c r="Y21" s="221"/>
      <c r="Z21" s="5"/>
      <c r="AA21" s="5"/>
      <c r="AB21" s="5"/>
      <c r="AC21" s="5"/>
      <c r="AD21" s="221"/>
      <c r="AE21" s="5"/>
      <c r="AF21" s="5"/>
      <c r="AG21" s="5"/>
      <c r="AH21" s="5"/>
      <c r="AI21" s="5"/>
      <c r="AJ21" s="5"/>
      <c r="AK21" s="5"/>
      <c r="AL21" s="2">
        <f t="shared" si="0"/>
        <v>0</v>
      </c>
      <c r="AM21" t="s">
        <v>158</v>
      </c>
    </row>
    <row r="22" spans="1:40" x14ac:dyDescent="0.25">
      <c r="A22" t="s">
        <v>146</v>
      </c>
      <c r="B22" s="5"/>
      <c r="C22" s="68">
        <f>'TT entry &amp; transportation'!P180</f>
        <v>12563.68</v>
      </c>
      <c r="D22" s="5"/>
      <c r="E22" s="5"/>
      <c r="F22" s="5"/>
      <c r="G22" s="5"/>
      <c r="H22" s="81"/>
      <c r="I22" s="81"/>
      <c r="J22" s="5"/>
      <c r="K22" s="5"/>
      <c r="L22" s="5"/>
      <c r="M22" s="5"/>
      <c r="N22" s="5"/>
      <c r="O22" s="5"/>
      <c r="P22" s="5"/>
      <c r="Q22" s="221"/>
      <c r="R22" s="221"/>
      <c r="S22" s="5"/>
      <c r="T22" s="221"/>
      <c r="U22" s="5"/>
      <c r="V22" s="5"/>
      <c r="W22" s="5"/>
      <c r="X22" s="5"/>
      <c r="Y22" s="221"/>
      <c r="Z22" s="5"/>
      <c r="AA22" s="5"/>
      <c r="AB22" s="5"/>
      <c r="AC22" s="5"/>
      <c r="AD22" s="221"/>
      <c r="AE22" s="5"/>
      <c r="AF22" s="5"/>
      <c r="AG22" s="5"/>
      <c r="AH22" s="181">
        <f>'TT entry &amp; transportation'!P207</f>
        <v>0</v>
      </c>
      <c r="AI22" s="5"/>
      <c r="AJ22" s="5"/>
      <c r="AK22" s="5"/>
      <c r="AL22" s="2">
        <f t="shared" si="0"/>
        <v>12563.68</v>
      </c>
      <c r="AM22" t="s">
        <v>146</v>
      </c>
    </row>
    <row r="23" spans="1:40" x14ac:dyDescent="0.25">
      <c r="A23" t="s">
        <v>103</v>
      </c>
      <c r="B23" s="5"/>
      <c r="C23" s="5"/>
      <c r="D23" s="5"/>
      <c r="E23" s="5"/>
      <c r="F23" s="5"/>
      <c r="G23" s="68">
        <f>'TT entry &amp; transportation'!P13</f>
        <v>11120.5</v>
      </c>
      <c r="H23" s="81"/>
      <c r="I23" s="81"/>
      <c r="J23" s="5"/>
      <c r="K23" s="5"/>
      <c r="L23" s="5"/>
      <c r="M23" s="5"/>
      <c r="N23" s="5"/>
      <c r="O23" s="5"/>
      <c r="P23" s="5"/>
      <c r="Q23" s="221"/>
      <c r="R23" s="221"/>
      <c r="S23" s="5"/>
      <c r="T23" s="221"/>
      <c r="U23" s="5"/>
      <c r="V23" s="5"/>
      <c r="W23" s="5"/>
      <c r="X23" s="5"/>
      <c r="Y23" s="221"/>
      <c r="Z23" s="5"/>
      <c r="AA23" s="5"/>
      <c r="AB23" s="5"/>
      <c r="AC23" s="5"/>
      <c r="AD23" s="221"/>
      <c r="AE23" s="5"/>
      <c r="AF23" s="5"/>
      <c r="AG23" s="5"/>
      <c r="AH23" s="5"/>
      <c r="AI23" s="5"/>
      <c r="AJ23" s="5"/>
      <c r="AK23" s="5"/>
      <c r="AL23" s="2">
        <f>SUM(B23:AK23)</f>
        <v>11120.5</v>
      </c>
      <c r="AM23" t="s">
        <v>103</v>
      </c>
    </row>
    <row r="24" spans="1:40" x14ac:dyDescent="0.25">
      <c r="A24" t="s">
        <v>144</v>
      </c>
      <c r="B24" s="5"/>
      <c r="C24" s="5"/>
      <c r="D24" s="181">
        <f>'TT entry &amp; transportation'!P187</f>
        <v>0</v>
      </c>
      <c r="E24" s="5"/>
      <c r="F24" s="5"/>
      <c r="G24" s="5"/>
      <c r="H24" s="81"/>
      <c r="I24" s="81"/>
      <c r="J24" s="5"/>
      <c r="K24" s="5"/>
      <c r="L24" s="5"/>
      <c r="M24" s="5"/>
      <c r="N24" s="27"/>
      <c r="O24" s="27"/>
      <c r="P24" s="5"/>
      <c r="Q24" s="221"/>
      <c r="R24" s="221"/>
      <c r="S24" s="5"/>
      <c r="T24" s="221"/>
      <c r="U24" s="5"/>
      <c r="V24" s="5"/>
      <c r="W24" s="5"/>
      <c r="X24" s="5"/>
      <c r="Y24" s="221"/>
      <c r="Z24" s="5"/>
      <c r="AA24" s="5"/>
      <c r="AB24" s="5"/>
      <c r="AC24" s="5"/>
      <c r="AD24" s="221"/>
      <c r="AE24" s="5"/>
      <c r="AF24" s="5"/>
      <c r="AG24" s="5"/>
      <c r="AH24" s="5"/>
      <c r="AI24" s="5"/>
      <c r="AJ24" s="5"/>
      <c r="AK24" s="5"/>
      <c r="AL24" s="2">
        <f t="shared" si="0"/>
        <v>0</v>
      </c>
      <c r="AM24" t="s">
        <v>144</v>
      </c>
    </row>
    <row r="25" spans="1:40" x14ac:dyDescent="0.25">
      <c r="A25" t="s">
        <v>90</v>
      </c>
      <c r="B25" s="5"/>
      <c r="C25" s="5"/>
      <c r="D25" s="5"/>
      <c r="E25" s="5"/>
      <c r="F25" s="5"/>
      <c r="G25" s="5"/>
      <c r="H25" s="81"/>
      <c r="I25" s="81"/>
      <c r="J25" s="5"/>
      <c r="K25" s="5"/>
      <c r="L25" s="68">
        <f>'TT entry &amp; transportation'!P61</f>
        <v>4043.6</v>
      </c>
      <c r="M25" s="5"/>
      <c r="N25" s="5"/>
      <c r="O25" s="5"/>
      <c r="P25" s="5"/>
      <c r="Q25" s="221"/>
      <c r="R25" s="221"/>
      <c r="S25" s="5"/>
      <c r="T25" s="221"/>
      <c r="U25" s="5"/>
      <c r="V25" s="68">
        <f>'TT entry &amp; transportation'!P111</f>
        <v>0</v>
      </c>
      <c r="W25" s="68">
        <f>'TT entry &amp; transportation'!P119</f>
        <v>147.6</v>
      </c>
      <c r="X25" s="68">
        <f>'TT entry &amp; transportation'!P133</f>
        <v>1790.5</v>
      </c>
      <c r="Y25" s="221"/>
      <c r="Z25" s="5"/>
      <c r="AA25" s="5"/>
      <c r="AB25" s="5"/>
      <c r="AC25" s="5"/>
      <c r="AD25" s="221"/>
      <c r="AE25" s="5"/>
      <c r="AF25" s="5"/>
      <c r="AG25" s="5"/>
      <c r="AH25" s="5"/>
      <c r="AI25" s="5"/>
      <c r="AJ25" s="5"/>
      <c r="AK25" s="5"/>
      <c r="AL25" s="13">
        <f t="shared" si="0"/>
        <v>5981.7</v>
      </c>
      <c r="AM25" t="s">
        <v>90</v>
      </c>
    </row>
    <row r="26" spans="1:40" s="864" customFormat="1" x14ac:dyDescent="0.25">
      <c r="A26" s="864" t="s">
        <v>864</v>
      </c>
      <c r="B26" s="5"/>
      <c r="C26" s="5"/>
      <c r="D26" s="5"/>
      <c r="E26" s="5"/>
      <c r="F26" s="5"/>
      <c r="G26" s="5"/>
      <c r="H26" s="81"/>
      <c r="I26" s="81"/>
      <c r="J26" s="5"/>
      <c r="K26" s="5"/>
      <c r="L26" s="27"/>
      <c r="M26" s="5"/>
      <c r="N26" s="5"/>
      <c r="O26" s="5"/>
      <c r="P26" s="5"/>
      <c r="Q26" s="221"/>
      <c r="R26" s="221"/>
      <c r="S26" s="5"/>
      <c r="T26" s="221"/>
      <c r="U26" s="5"/>
      <c r="V26" s="5"/>
      <c r="W26" s="68">
        <f>'TT entry &amp; transportation'!P120</f>
        <v>68</v>
      </c>
      <c r="X26" s="5"/>
      <c r="Y26" s="221"/>
      <c r="Z26" s="5"/>
      <c r="AA26" s="5"/>
      <c r="AB26" s="5"/>
      <c r="AC26" s="5"/>
      <c r="AD26" s="221"/>
      <c r="AE26" s="5"/>
      <c r="AF26" s="5"/>
      <c r="AG26" s="5"/>
      <c r="AH26" s="5"/>
      <c r="AI26" s="5"/>
      <c r="AJ26" s="5"/>
      <c r="AK26" s="5"/>
      <c r="AL26" s="13">
        <f t="shared" ref="AL26" si="1">SUM(B26:AK26)</f>
        <v>68</v>
      </c>
      <c r="AM26" s="864" t="s">
        <v>864</v>
      </c>
      <c r="AN26" s="864" t="s">
        <v>865</v>
      </c>
    </row>
    <row r="27" spans="1:40" x14ac:dyDescent="0.25">
      <c r="A27" t="s">
        <v>104</v>
      </c>
      <c r="B27" s="5"/>
      <c r="C27" s="5"/>
      <c r="D27" s="5"/>
      <c r="E27" s="5"/>
      <c r="F27" s="5"/>
      <c r="G27" s="68">
        <f>'TT entry &amp; transportation'!P14</f>
        <v>10742</v>
      </c>
      <c r="H27" s="81"/>
      <c r="I27" s="81"/>
      <c r="J27" s="5"/>
      <c r="K27" s="5"/>
      <c r="L27" s="27"/>
      <c r="M27" s="5"/>
      <c r="N27" s="5"/>
      <c r="O27" s="5"/>
      <c r="P27" s="5"/>
      <c r="Q27" s="221"/>
      <c r="R27" s="221"/>
      <c r="S27" s="5"/>
      <c r="T27" s="221"/>
      <c r="U27" s="5"/>
      <c r="V27" s="5"/>
      <c r="W27" s="5"/>
      <c r="X27" s="5"/>
      <c r="Y27" s="221"/>
      <c r="Z27" s="5"/>
      <c r="AA27" s="5"/>
      <c r="AB27" s="5"/>
      <c r="AC27" s="5"/>
      <c r="AD27" s="221"/>
      <c r="AE27" s="5"/>
      <c r="AF27" s="5"/>
      <c r="AG27" s="5"/>
      <c r="AH27" s="5"/>
      <c r="AI27" s="5"/>
      <c r="AJ27" s="5"/>
      <c r="AK27" s="5"/>
      <c r="AL27" s="13">
        <f t="shared" si="0"/>
        <v>10742</v>
      </c>
      <c r="AM27" t="s">
        <v>104</v>
      </c>
    </row>
    <row r="28" spans="1:40" x14ac:dyDescent="0.25">
      <c r="A28" t="s">
        <v>82</v>
      </c>
      <c r="B28" s="5"/>
      <c r="C28" s="5"/>
      <c r="D28" s="5"/>
      <c r="E28" s="5"/>
      <c r="F28" s="5"/>
      <c r="G28" s="5"/>
      <c r="H28" s="81"/>
      <c r="I28" s="81"/>
      <c r="J28" s="5"/>
      <c r="K28" s="5"/>
      <c r="L28" s="5"/>
      <c r="M28" s="5"/>
      <c r="N28" s="5"/>
      <c r="O28" s="5"/>
      <c r="P28" s="5"/>
      <c r="Q28" s="221"/>
      <c r="R28" s="221"/>
      <c r="S28" s="5"/>
      <c r="T28" s="221"/>
      <c r="U28" s="5"/>
      <c r="V28" s="5"/>
      <c r="W28" s="68">
        <f>'TT entry &amp; transportation'!P121</f>
        <v>0</v>
      </c>
      <c r="X28" s="68">
        <f>'TT entry &amp; transportation'!P134</f>
        <v>451.5</v>
      </c>
      <c r="Y28" s="221"/>
      <c r="Z28" s="5"/>
      <c r="AA28" s="5"/>
      <c r="AB28" s="5"/>
      <c r="AC28" s="5"/>
      <c r="AD28" s="221"/>
      <c r="AE28" s="5"/>
      <c r="AF28" s="5"/>
      <c r="AG28" s="5"/>
      <c r="AH28" s="5"/>
      <c r="AI28" s="5"/>
      <c r="AJ28" s="5"/>
      <c r="AK28" s="5"/>
      <c r="AL28" s="13">
        <f t="shared" si="0"/>
        <v>451.5</v>
      </c>
      <c r="AM28" t="s">
        <v>82</v>
      </c>
    </row>
    <row r="29" spans="1:40" x14ac:dyDescent="0.25">
      <c r="A29" t="s">
        <v>83</v>
      </c>
      <c r="B29" s="5"/>
      <c r="C29" s="5"/>
      <c r="D29" s="5"/>
      <c r="E29" s="5"/>
      <c r="F29" s="5"/>
      <c r="G29" s="5"/>
      <c r="H29" s="81"/>
      <c r="I29" s="81"/>
      <c r="J29" s="5"/>
      <c r="K29" s="5"/>
      <c r="L29" s="5"/>
      <c r="M29" s="5"/>
      <c r="N29" s="5"/>
      <c r="O29" s="5"/>
      <c r="P29" s="68">
        <f>'TT entry &amp; transportation'!P86</f>
        <v>8850.6</v>
      </c>
      <c r="Q29" s="68">
        <f>'TT entry &amp; transportation'!P234</f>
        <v>0</v>
      </c>
      <c r="R29" s="221"/>
      <c r="S29" s="5"/>
      <c r="T29" s="221"/>
      <c r="U29" s="5"/>
      <c r="V29" s="5"/>
      <c r="W29" s="5"/>
      <c r="X29" s="5"/>
      <c r="Y29" s="221"/>
      <c r="Z29" s="5"/>
      <c r="AA29" s="5"/>
      <c r="AB29" s="5"/>
      <c r="AC29" s="5"/>
      <c r="AD29" s="221"/>
      <c r="AE29" s="5"/>
      <c r="AF29" s="5"/>
      <c r="AG29" s="5"/>
      <c r="AH29" s="5"/>
      <c r="AI29" s="5"/>
      <c r="AJ29" s="68">
        <f>'TT entry &amp; transportation'!P219</f>
        <v>1024.8</v>
      </c>
      <c r="AK29" s="5"/>
      <c r="AL29" s="13">
        <f>SUM(B29:AK29)-Q29</f>
        <v>9875.4</v>
      </c>
      <c r="AM29" t="s">
        <v>83</v>
      </c>
    </row>
    <row r="30" spans="1:40" x14ac:dyDescent="0.25">
      <c r="A30" t="s">
        <v>128</v>
      </c>
      <c r="B30" s="5"/>
      <c r="C30" s="5"/>
      <c r="D30" s="5"/>
      <c r="E30" s="5"/>
      <c r="F30" s="5"/>
      <c r="G30" s="5"/>
      <c r="H30" s="81"/>
      <c r="I30" s="81"/>
      <c r="J30" s="5"/>
      <c r="K30" s="5"/>
      <c r="L30" s="5"/>
      <c r="M30" s="5"/>
      <c r="N30" s="68">
        <f>'TT entry &amp; transportation'!P76</f>
        <v>0</v>
      </c>
      <c r="O30" s="5"/>
      <c r="P30" s="5"/>
      <c r="Q30" s="221"/>
      <c r="R30" s="221"/>
      <c r="S30" s="5"/>
      <c r="T30" s="221"/>
      <c r="U30" s="5"/>
      <c r="V30" s="68">
        <f>'TT entry &amp; transportation'!P112</f>
        <v>1309.2</v>
      </c>
      <c r="W30" s="27"/>
      <c r="X30" s="5"/>
      <c r="Y30" s="221"/>
      <c r="Z30" s="5"/>
      <c r="AA30" s="5"/>
      <c r="AB30" s="68">
        <f>'TT entry &amp; transportation'!P22</f>
        <v>1130</v>
      </c>
      <c r="AC30" s="5"/>
      <c r="AD30" s="221"/>
      <c r="AE30" s="5"/>
      <c r="AF30" s="5"/>
      <c r="AG30" s="5"/>
      <c r="AH30" s="5"/>
      <c r="AI30" s="5"/>
      <c r="AJ30" s="5"/>
      <c r="AK30" s="5"/>
      <c r="AL30" s="13">
        <f t="shared" si="0"/>
        <v>2439.1999999999998</v>
      </c>
      <c r="AM30" t="s">
        <v>128</v>
      </c>
    </row>
    <row r="31" spans="1:40" x14ac:dyDescent="0.25">
      <c r="A31" t="s">
        <v>106</v>
      </c>
      <c r="B31" s="5"/>
      <c r="C31" s="5"/>
      <c r="D31" s="5"/>
      <c r="E31" s="5"/>
      <c r="F31" s="5"/>
      <c r="G31" s="68">
        <f>'TT entry &amp; transportation'!P15</f>
        <v>15189</v>
      </c>
      <c r="H31" s="81"/>
      <c r="I31" s="81"/>
      <c r="J31" s="5"/>
      <c r="K31" s="5"/>
      <c r="L31" s="68">
        <f>'TT entry &amp; transportation'!P63</f>
        <v>0</v>
      </c>
      <c r="M31" s="5"/>
      <c r="N31" s="5"/>
      <c r="O31" s="5"/>
      <c r="P31" s="5"/>
      <c r="Q31" s="221"/>
      <c r="R31" s="221"/>
      <c r="S31" s="5"/>
      <c r="T31" s="221"/>
      <c r="U31" s="5"/>
      <c r="V31" s="27"/>
      <c r="W31" s="27"/>
      <c r="X31" s="5"/>
      <c r="Y31" s="221"/>
      <c r="Z31" s="68">
        <f>'TT entry &amp; transportation'!P143</f>
        <v>772.9</v>
      </c>
      <c r="AA31" s="5"/>
      <c r="AB31" s="5"/>
      <c r="AC31" s="5"/>
      <c r="AD31" s="221"/>
      <c r="AE31" s="5"/>
      <c r="AF31" s="5"/>
      <c r="AG31" s="5"/>
      <c r="AH31" s="5"/>
      <c r="AI31" s="5"/>
      <c r="AJ31" s="5"/>
      <c r="AK31" s="5"/>
      <c r="AL31" s="13">
        <f t="shared" si="0"/>
        <v>15961.9</v>
      </c>
      <c r="AM31" t="s">
        <v>106</v>
      </c>
    </row>
    <row r="32" spans="1:40" x14ac:dyDescent="0.25">
      <c r="A32" t="s">
        <v>101</v>
      </c>
      <c r="B32" s="5"/>
      <c r="C32" s="5"/>
      <c r="D32" s="5"/>
      <c r="E32" s="5"/>
      <c r="F32" s="68">
        <f>'TT entry &amp; transportation'!P6</f>
        <v>0</v>
      </c>
      <c r="G32" s="68">
        <f>'TT entry &amp; transportation'!P16</f>
        <v>18873.2</v>
      </c>
      <c r="H32" s="81"/>
      <c r="I32" s="81"/>
      <c r="J32" s="5"/>
      <c r="K32" s="5"/>
      <c r="L32" s="5"/>
      <c r="M32" s="5"/>
      <c r="N32" s="5"/>
      <c r="O32" s="5"/>
      <c r="P32" s="5"/>
      <c r="Q32" s="221"/>
      <c r="R32" s="221"/>
      <c r="S32" s="5"/>
      <c r="T32" s="221"/>
      <c r="U32" s="5"/>
      <c r="V32" s="5"/>
      <c r="W32" s="5"/>
      <c r="X32" s="5"/>
      <c r="Y32" s="221"/>
      <c r="Z32" s="68">
        <f>'TT entry &amp; transportation'!P144</f>
        <v>0</v>
      </c>
      <c r="AA32" s="5"/>
      <c r="AB32" s="5"/>
      <c r="AC32" s="5"/>
      <c r="AD32" s="221"/>
      <c r="AE32" s="5"/>
      <c r="AF32" s="5"/>
      <c r="AG32" s="5"/>
      <c r="AH32" s="5"/>
      <c r="AI32" s="5"/>
      <c r="AJ32" s="5"/>
      <c r="AK32" s="5"/>
      <c r="AL32" s="13">
        <f t="shared" si="0"/>
        <v>18873.2</v>
      </c>
      <c r="AM32" t="s">
        <v>101</v>
      </c>
    </row>
    <row r="33" spans="1:39" x14ac:dyDescent="0.25">
      <c r="A33" t="s">
        <v>132</v>
      </c>
      <c r="B33" s="5"/>
      <c r="C33" s="5"/>
      <c r="D33" s="87">
        <f>'TT entry &amp; transportation'!P188</f>
        <v>0</v>
      </c>
      <c r="E33" s="5"/>
      <c r="F33" s="27"/>
      <c r="G33" s="27"/>
      <c r="H33" s="81"/>
      <c r="I33" s="81"/>
      <c r="J33" s="5"/>
      <c r="K33" s="5"/>
      <c r="L33" s="5"/>
      <c r="M33" s="5"/>
      <c r="N33" s="5"/>
      <c r="O33" s="68">
        <f>'TT entry &amp; transportation'!P80</f>
        <v>3196.8</v>
      </c>
      <c r="P33" s="5"/>
      <c r="Q33" s="221"/>
      <c r="R33" s="221"/>
      <c r="S33" s="5"/>
      <c r="T33" s="221"/>
      <c r="U33" s="5"/>
      <c r="V33" s="5"/>
      <c r="W33" s="5"/>
      <c r="X33" s="68">
        <f>'TT entry &amp; transportation'!P135</f>
        <v>0</v>
      </c>
      <c r="Y33" s="221"/>
      <c r="Z33" s="27"/>
      <c r="AA33" s="27"/>
      <c r="AB33" s="68">
        <f>'TT entry &amp; transportation'!P23</f>
        <v>0</v>
      </c>
      <c r="AC33" s="5"/>
      <c r="AD33" s="221"/>
      <c r="AE33" s="5"/>
      <c r="AF33" s="5"/>
      <c r="AG33" s="5"/>
      <c r="AH33" s="5"/>
      <c r="AI33" s="5"/>
      <c r="AJ33" s="5"/>
      <c r="AK33" s="5"/>
      <c r="AL33" s="13">
        <f t="shared" si="0"/>
        <v>3196.8</v>
      </c>
      <c r="AM33" t="s">
        <v>132</v>
      </c>
    </row>
    <row r="34" spans="1:39" x14ac:dyDescent="0.25">
      <c r="A34" t="s">
        <v>133</v>
      </c>
      <c r="B34" s="5"/>
      <c r="C34" s="5"/>
      <c r="D34" s="5"/>
      <c r="E34" s="5"/>
      <c r="F34" s="5"/>
      <c r="G34" s="5"/>
      <c r="H34" s="81"/>
      <c r="I34" s="81"/>
      <c r="J34" s="5"/>
      <c r="K34" s="5"/>
      <c r="L34" s="5"/>
      <c r="M34" s="5"/>
      <c r="N34" s="5"/>
      <c r="O34" s="5"/>
      <c r="P34" s="5"/>
      <c r="Q34" s="221"/>
      <c r="R34" s="221"/>
      <c r="S34" s="5"/>
      <c r="T34" s="221"/>
      <c r="U34" s="5"/>
      <c r="V34" s="5"/>
      <c r="W34" s="5"/>
      <c r="X34" s="5"/>
      <c r="Y34" s="221"/>
      <c r="Z34" s="231" t="s">
        <v>1</v>
      </c>
      <c r="AA34" s="5"/>
      <c r="AB34" s="5"/>
      <c r="AC34" s="5"/>
      <c r="AD34" s="221"/>
      <c r="AE34" s="5"/>
      <c r="AF34" s="5"/>
      <c r="AG34" s="5"/>
      <c r="AH34" s="5"/>
      <c r="AI34" s="5"/>
      <c r="AJ34" s="68">
        <f>'TT entry &amp; transportation'!P220</f>
        <v>0</v>
      </c>
      <c r="AK34" s="5"/>
      <c r="AL34" s="13">
        <f>SUM(B34:AK34)</f>
        <v>0</v>
      </c>
      <c r="AM34" t="s">
        <v>133</v>
      </c>
    </row>
    <row r="35" spans="1:39" x14ac:dyDescent="0.25">
      <c r="A35" t="s">
        <v>87</v>
      </c>
      <c r="B35" s="5"/>
      <c r="C35" s="5"/>
      <c r="D35" s="5"/>
      <c r="E35" s="5"/>
      <c r="F35" s="68">
        <f>'TT entry &amp; transportation'!P5</f>
        <v>0</v>
      </c>
      <c r="G35" s="5"/>
      <c r="H35" s="81"/>
      <c r="I35" s="81"/>
      <c r="J35" s="68">
        <f>'TT entry &amp; transportation'!P198</f>
        <v>9559.2000000000007</v>
      </c>
      <c r="K35" s="5"/>
      <c r="L35" s="5"/>
      <c r="M35" s="5"/>
      <c r="N35" s="5"/>
      <c r="O35" s="5"/>
      <c r="P35" s="5"/>
      <c r="Q35" s="221"/>
      <c r="R35" s="221"/>
      <c r="S35" s="5"/>
      <c r="T35" s="221"/>
      <c r="U35" s="5"/>
      <c r="V35" s="5"/>
      <c r="W35" s="5"/>
      <c r="X35" s="5"/>
      <c r="Y35" s="221"/>
      <c r="Z35" s="68">
        <f>'TT entry &amp; transportation'!P142</f>
        <v>0</v>
      </c>
      <c r="AA35" s="5"/>
      <c r="AB35" s="27"/>
      <c r="AC35" s="27"/>
      <c r="AD35" s="221"/>
      <c r="AE35" s="27"/>
      <c r="AF35" s="27"/>
      <c r="AG35" s="27"/>
      <c r="AH35" s="27"/>
      <c r="AI35" s="5"/>
      <c r="AJ35" s="5"/>
      <c r="AK35" s="5"/>
      <c r="AL35" s="13">
        <f t="shared" si="0"/>
        <v>9559.2000000000007</v>
      </c>
      <c r="AM35" t="s">
        <v>87</v>
      </c>
    </row>
    <row r="36" spans="1:39" x14ac:dyDescent="0.25">
      <c r="A36" t="s">
        <v>69</v>
      </c>
      <c r="B36" s="5"/>
      <c r="C36" s="5"/>
      <c r="D36" s="5"/>
      <c r="E36" s="5"/>
      <c r="F36" s="5"/>
      <c r="G36" s="5"/>
      <c r="H36" s="81"/>
      <c r="I36" s="81"/>
      <c r="J36" s="5"/>
      <c r="K36" s="5"/>
      <c r="L36" s="5"/>
      <c r="M36" s="5"/>
      <c r="N36" s="5"/>
      <c r="O36" s="5"/>
      <c r="P36" s="5"/>
      <c r="Q36" s="221"/>
      <c r="R36" s="221"/>
      <c r="S36" s="68">
        <f>'TT entry &amp; transportation'!P91</f>
        <v>0</v>
      </c>
      <c r="T36" s="221"/>
      <c r="U36" s="5"/>
      <c r="V36" s="5"/>
      <c r="W36" s="5"/>
      <c r="X36" s="5"/>
      <c r="Y36" s="221"/>
      <c r="Z36" s="5"/>
      <c r="AA36" s="5" t="s">
        <v>1</v>
      </c>
      <c r="AB36" s="27"/>
      <c r="AC36" s="27"/>
      <c r="AD36" s="221"/>
      <c r="AE36" s="27"/>
      <c r="AF36" s="27"/>
      <c r="AG36" s="27"/>
      <c r="AH36" s="27"/>
      <c r="AI36" s="68">
        <f>'TT entry &amp; transportation'!P210</f>
        <v>0</v>
      </c>
      <c r="AJ36" s="5"/>
      <c r="AK36" s="5"/>
      <c r="AL36" s="13">
        <f t="shared" si="0"/>
        <v>0</v>
      </c>
      <c r="AM36" t="s">
        <v>69</v>
      </c>
    </row>
    <row r="37" spans="1:39" x14ac:dyDescent="0.25">
      <c r="A37" t="s">
        <v>125</v>
      </c>
      <c r="B37" s="5"/>
      <c r="C37" s="5"/>
      <c r="D37" s="5"/>
      <c r="E37" s="5"/>
      <c r="F37" s="5"/>
      <c r="G37" s="5"/>
      <c r="H37" s="81"/>
      <c r="I37" s="81"/>
      <c r="J37" s="5"/>
      <c r="K37" s="5"/>
      <c r="L37" s="5"/>
      <c r="M37" s="5"/>
      <c r="N37" s="5"/>
      <c r="O37" s="5"/>
      <c r="P37" s="5"/>
      <c r="Q37" s="221"/>
      <c r="R37" s="221"/>
      <c r="S37" s="68">
        <f>'TT entry &amp; transportation'!P92</f>
        <v>12936</v>
      </c>
      <c r="T37" s="221"/>
      <c r="U37" s="5"/>
      <c r="V37" s="5"/>
      <c r="W37" s="5"/>
      <c r="X37" s="5"/>
      <c r="Y37" s="221"/>
      <c r="Z37" s="5"/>
      <c r="AA37" s="5"/>
      <c r="AB37" s="27"/>
      <c r="AC37" s="27"/>
      <c r="AD37" s="221"/>
      <c r="AE37" s="27"/>
      <c r="AF37" s="27"/>
      <c r="AG37" s="27"/>
      <c r="AH37" s="27"/>
      <c r="AI37" s="69">
        <f>'TT entry &amp; transportation'!P211</f>
        <v>0</v>
      </c>
      <c r="AJ37" s="5"/>
      <c r="AK37" s="5"/>
      <c r="AL37" s="13">
        <f t="shared" ref="AL37:AL69" si="2">SUM(B37:AK37)</f>
        <v>12936</v>
      </c>
      <c r="AM37" t="s">
        <v>125</v>
      </c>
    </row>
    <row r="38" spans="1:39" x14ac:dyDescent="0.25">
      <c r="A38" t="s">
        <v>92</v>
      </c>
      <c r="B38" s="5"/>
      <c r="C38" s="5"/>
      <c r="D38" s="5"/>
      <c r="E38" s="5"/>
      <c r="F38" s="5"/>
      <c r="G38" s="5"/>
      <c r="H38" s="81"/>
      <c r="I38" s="81"/>
      <c r="J38" s="5"/>
      <c r="K38" s="5"/>
      <c r="L38" s="68">
        <f>'TT entry &amp; transportation'!P60</f>
        <v>2795.4</v>
      </c>
      <c r="M38" s="5"/>
      <c r="N38" s="5"/>
      <c r="O38" s="5"/>
      <c r="P38" s="5"/>
      <c r="Q38" s="221"/>
      <c r="R38" s="68">
        <f>'TT entry &amp; transportation'!P247</f>
        <v>0</v>
      </c>
      <c r="S38" s="5"/>
      <c r="T38" s="68">
        <f>'TT entry &amp; transportation'!P245</f>
        <v>0</v>
      </c>
      <c r="U38" s="68">
        <f>'TT entry &amp; transportation'!P102</f>
        <v>360</v>
      </c>
      <c r="V38" s="5"/>
      <c r="W38" s="68">
        <f>'TT entry &amp; transportation'!P122</f>
        <v>0</v>
      </c>
      <c r="X38" s="68">
        <f>'TT entry &amp; transportation'!P136</f>
        <v>0</v>
      </c>
      <c r="Y38" s="68">
        <f>'TT entry &amp; transportation'!P251</f>
        <v>0</v>
      </c>
      <c r="Z38" s="5"/>
      <c r="AA38" s="5"/>
      <c r="AB38" s="27"/>
      <c r="AC38" s="68">
        <f>'TT entry &amp; transportation'!P148</f>
        <v>1551.5</v>
      </c>
      <c r="AD38" s="68">
        <f>'TT entry &amp; transportation'!P249</f>
        <v>0</v>
      </c>
      <c r="AE38" s="27"/>
      <c r="AF38" s="27"/>
      <c r="AG38" s="27"/>
      <c r="AH38" s="27"/>
      <c r="AI38" s="5"/>
      <c r="AJ38" s="5"/>
      <c r="AK38" s="5"/>
      <c r="AL38" s="13">
        <f>SUM(B38:AK38)-AD38-Y38-T38</f>
        <v>4706.8999999999996</v>
      </c>
      <c r="AM38" t="s">
        <v>92</v>
      </c>
    </row>
    <row r="39" spans="1:39" x14ac:dyDescent="0.25">
      <c r="A39" t="s">
        <v>68</v>
      </c>
      <c r="B39" s="5"/>
      <c r="C39" s="5"/>
      <c r="D39" s="5"/>
      <c r="E39" s="5"/>
      <c r="F39" s="5"/>
      <c r="G39" s="5"/>
      <c r="H39" s="81"/>
      <c r="I39" s="81"/>
      <c r="J39" s="5"/>
      <c r="K39" s="5"/>
      <c r="L39" s="5"/>
      <c r="M39" s="5"/>
      <c r="N39" s="5"/>
      <c r="O39" s="5"/>
      <c r="P39" s="5"/>
      <c r="Q39" s="221"/>
      <c r="R39" s="221"/>
      <c r="S39" s="5"/>
      <c r="T39" s="221"/>
      <c r="U39" s="5"/>
      <c r="V39" s="5"/>
      <c r="W39" s="5"/>
      <c r="X39" s="5"/>
      <c r="Y39" s="221"/>
      <c r="Z39" s="5"/>
      <c r="AA39" s="5"/>
      <c r="AB39" s="27"/>
      <c r="AC39" s="27"/>
      <c r="AD39" s="223"/>
      <c r="AE39" s="27"/>
      <c r="AF39" s="27"/>
      <c r="AG39" s="27"/>
      <c r="AH39" s="27"/>
      <c r="AI39" s="68">
        <f>'TT entry &amp; transportation'!P212</f>
        <v>3740.8</v>
      </c>
      <c r="AJ39" s="5"/>
      <c r="AK39" s="5"/>
      <c r="AL39" s="13">
        <f t="shared" si="2"/>
        <v>3740.8</v>
      </c>
      <c r="AM39" t="s">
        <v>68</v>
      </c>
    </row>
    <row r="40" spans="1:39" x14ac:dyDescent="0.25">
      <c r="A40" t="s">
        <v>117</v>
      </c>
      <c r="B40" s="5"/>
      <c r="C40" s="5"/>
      <c r="D40" s="5"/>
      <c r="E40" s="5"/>
      <c r="F40" s="5"/>
      <c r="G40" s="5"/>
      <c r="H40" s="81"/>
      <c r="I40" s="81"/>
      <c r="J40" s="5"/>
      <c r="K40" s="5"/>
      <c r="L40" s="68">
        <f>'TT entry &amp; transportation'!P62</f>
        <v>4638.2</v>
      </c>
      <c r="M40" s="5"/>
      <c r="N40" s="5"/>
      <c r="O40" s="5"/>
      <c r="P40" s="5"/>
      <c r="Q40" s="221"/>
      <c r="R40" s="221"/>
      <c r="S40" s="5"/>
      <c r="T40" s="221"/>
      <c r="U40" s="68">
        <f>'TT entry &amp; transportation'!P103</f>
        <v>16914.400000000001</v>
      </c>
      <c r="V40" s="5"/>
      <c r="W40" s="68">
        <f>'TT entry &amp; transportation'!P123</f>
        <v>0</v>
      </c>
      <c r="X40" s="5"/>
      <c r="Y40" s="221"/>
      <c r="Z40" s="5"/>
      <c r="AA40" s="5"/>
      <c r="AB40" s="27"/>
      <c r="AC40" s="27"/>
      <c r="AD40" s="221"/>
      <c r="AE40" s="27"/>
      <c r="AF40" s="27"/>
      <c r="AG40" s="27"/>
      <c r="AH40" s="27"/>
      <c r="AI40" s="5"/>
      <c r="AJ40" s="5"/>
      <c r="AK40" s="5"/>
      <c r="AL40" s="13">
        <f t="shared" si="2"/>
        <v>21552.6</v>
      </c>
      <c r="AM40" t="s">
        <v>117</v>
      </c>
    </row>
    <row r="41" spans="1:39" x14ac:dyDescent="0.25">
      <c r="A41" t="s">
        <v>88</v>
      </c>
      <c r="B41" s="5"/>
      <c r="C41" s="73">
        <f>'TT entry &amp; transportation'!P181</f>
        <v>0</v>
      </c>
      <c r="D41" s="5"/>
      <c r="E41" s="5"/>
      <c r="F41" s="5"/>
      <c r="G41" s="5"/>
      <c r="H41" s="81"/>
      <c r="I41" s="81"/>
      <c r="J41" s="73">
        <f>'TT entry &amp; transportation'!P199</f>
        <v>0</v>
      </c>
      <c r="K41" s="5"/>
      <c r="L41" s="5"/>
      <c r="M41" s="5"/>
      <c r="N41" s="5"/>
      <c r="O41" s="5"/>
      <c r="P41" s="5"/>
      <c r="Q41" s="221"/>
      <c r="R41" s="221"/>
      <c r="S41" s="5"/>
      <c r="T41" s="221"/>
      <c r="U41" s="5"/>
      <c r="V41" s="5"/>
      <c r="W41" s="5"/>
      <c r="X41" s="5"/>
      <c r="Y41" s="221"/>
      <c r="Z41" s="5"/>
      <c r="AA41" s="5"/>
      <c r="AB41" s="27"/>
      <c r="AC41" s="27"/>
      <c r="AD41" s="221"/>
      <c r="AE41" s="27"/>
      <c r="AF41" s="27"/>
      <c r="AG41" s="27"/>
      <c r="AH41" s="27"/>
      <c r="AI41" s="5"/>
      <c r="AJ41" s="5"/>
      <c r="AK41" s="5"/>
      <c r="AL41" s="13">
        <f t="shared" si="2"/>
        <v>0</v>
      </c>
      <c r="AM41" t="s">
        <v>88</v>
      </c>
    </row>
    <row r="42" spans="1:39" x14ac:dyDescent="0.25">
      <c r="A42" t="s">
        <v>93</v>
      </c>
      <c r="B42" s="5"/>
      <c r="C42" s="5"/>
      <c r="D42" s="5"/>
      <c r="E42" s="5"/>
      <c r="F42" s="5"/>
      <c r="G42" s="5"/>
      <c r="H42" s="81"/>
      <c r="I42" s="82">
        <f>'TT entry &amp; transportation'!P51</f>
        <v>0</v>
      </c>
      <c r="J42" s="5"/>
      <c r="K42" s="5"/>
      <c r="L42" s="5"/>
      <c r="M42" s="5"/>
      <c r="N42" s="5"/>
      <c r="O42" s="5"/>
      <c r="P42" s="5"/>
      <c r="Q42" s="221"/>
      <c r="R42" s="221"/>
      <c r="S42" s="5"/>
      <c r="T42" s="221"/>
      <c r="U42" s="5" t="s">
        <v>1</v>
      </c>
      <c r="V42" s="5"/>
      <c r="W42" s="5"/>
      <c r="X42" s="5"/>
      <c r="Y42" s="221"/>
      <c r="Z42" s="5"/>
      <c r="AA42" s="5"/>
      <c r="AB42" s="27"/>
      <c r="AC42" s="27"/>
      <c r="AD42" s="221"/>
      <c r="AE42" s="27"/>
      <c r="AF42" s="27"/>
      <c r="AG42" s="27"/>
      <c r="AH42" s="27"/>
      <c r="AI42" s="5"/>
      <c r="AJ42" s="5"/>
      <c r="AK42" s="5"/>
      <c r="AL42" s="13">
        <f t="shared" si="2"/>
        <v>0</v>
      </c>
      <c r="AM42" t="s">
        <v>93</v>
      </c>
    </row>
    <row r="43" spans="1:39" x14ac:dyDescent="0.25">
      <c r="A43" t="s">
        <v>130</v>
      </c>
      <c r="B43" s="5"/>
      <c r="C43" s="5"/>
      <c r="D43" s="5"/>
      <c r="E43" s="5"/>
      <c r="F43" s="5"/>
      <c r="G43" s="5"/>
      <c r="H43" s="81"/>
      <c r="I43" s="81"/>
      <c r="J43" s="5"/>
      <c r="K43" s="5"/>
      <c r="L43" s="5"/>
      <c r="M43" s="68">
        <f>'TT entry &amp; transportation'!P73</f>
        <v>0</v>
      </c>
      <c r="N43" s="5"/>
      <c r="O43" s="5"/>
      <c r="P43" s="5"/>
      <c r="Q43" s="221"/>
      <c r="R43" s="221"/>
      <c r="S43" s="5"/>
      <c r="T43" s="221"/>
      <c r="U43" s="5"/>
      <c r="V43" s="5"/>
      <c r="W43" s="68">
        <f>'TT entry &amp; transportation'!P124</f>
        <v>0</v>
      </c>
      <c r="X43" s="5"/>
      <c r="Y43" s="221"/>
      <c r="Z43" s="5"/>
      <c r="AA43" s="5"/>
      <c r="AB43" s="68">
        <f>'TT entry &amp; transportation'!P24</f>
        <v>1477.5</v>
      </c>
      <c r="AC43" s="27"/>
      <c r="AD43" s="221"/>
      <c r="AE43" s="27"/>
      <c r="AF43" s="27"/>
      <c r="AG43" s="27"/>
      <c r="AH43" s="27"/>
      <c r="AI43" s="5"/>
      <c r="AJ43" s="5"/>
      <c r="AK43" s="5"/>
      <c r="AL43" s="13">
        <f t="shared" si="2"/>
        <v>1477.5</v>
      </c>
      <c r="AM43" t="s">
        <v>130</v>
      </c>
    </row>
    <row r="44" spans="1:39" x14ac:dyDescent="0.25">
      <c r="A44" s="3" t="s">
        <v>116</v>
      </c>
      <c r="B44" s="5"/>
      <c r="C44" s="5"/>
      <c r="D44" s="5"/>
      <c r="E44" s="5"/>
      <c r="F44" s="5"/>
      <c r="G44" s="5"/>
      <c r="H44" s="81"/>
      <c r="I44" s="81"/>
      <c r="J44" s="68">
        <f>'TT entry &amp; transportation'!P195</f>
        <v>19248</v>
      </c>
      <c r="K44" s="5"/>
      <c r="L44" s="5"/>
      <c r="M44" s="5"/>
      <c r="N44" s="5"/>
      <c r="O44" s="5"/>
      <c r="P44" s="5"/>
      <c r="Q44" s="221"/>
      <c r="R44" s="221"/>
      <c r="S44" s="5"/>
      <c r="T44" s="221"/>
      <c r="U44" s="5"/>
      <c r="V44" s="5"/>
      <c r="W44" s="5"/>
      <c r="X44" s="5"/>
      <c r="Y44" s="221"/>
      <c r="Z44" s="5"/>
      <c r="AA44" s="5"/>
      <c r="AB44" s="5"/>
      <c r="AC44" s="5"/>
      <c r="AD44" s="221"/>
      <c r="AE44" s="5"/>
      <c r="AF44" s="5"/>
      <c r="AG44" s="5"/>
      <c r="AH44" s="5"/>
      <c r="AI44" s="5"/>
      <c r="AJ44" s="5"/>
      <c r="AK44" s="5"/>
      <c r="AL44" s="13">
        <f t="shared" si="2"/>
        <v>19248</v>
      </c>
      <c r="AM44" s="3" t="s">
        <v>116</v>
      </c>
    </row>
    <row r="45" spans="1:39" x14ac:dyDescent="0.25">
      <c r="A45" t="s">
        <v>94</v>
      </c>
      <c r="B45" s="5"/>
      <c r="C45" s="5"/>
      <c r="D45" s="5"/>
      <c r="E45" s="5"/>
      <c r="F45" s="5"/>
      <c r="G45" s="5"/>
      <c r="H45" s="81"/>
      <c r="I45" s="81"/>
      <c r="J45" s="5"/>
      <c r="K45" s="5"/>
      <c r="L45" s="68">
        <f>'TT entry &amp; transportation'!P64</f>
        <v>4900.5</v>
      </c>
      <c r="M45" s="5"/>
      <c r="N45" s="5"/>
      <c r="O45" s="5"/>
      <c r="P45" s="5"/>
      <c r="Q45" s="221"/>
      <c r="R45" s="221"/>
      <c r="S45" s="5"/>
      <c r="T45" s="221"/>
      <c r="U45" s="5"/>
      <c r="V45" s="5"/>
      <c r="W45" s="5"/>
      <c r="X45" s="68">
        <f>'TT entry &amp; transportation'!P137</f>
        <v>1060.25</v>
      </c>
      <c r="Y45" s="221"/>
      <c r="Z45" s="5"/>
      <c r="AA45" s="5"/>
      <c r="AB45" s="5"/>
      <c r="AC45" s="5"/>
      <c r="AD45" s="221"/>
      <c r="AE45" s="5"/>
      <c r="AF45" s="5"/>
      <c r="AG45" s="5"/>
      <c r="AH45" s="5"/>
      <c r="AI45" s="5"/>
      <c r="AJ45" s="5"/>
      <c r="AK45" s="5"/>
      <c r="AL45" s="13">
        <f t="shared" si="2"/>
        <v>5960.75</v>
      </c>
      <c r="AM45" t="s">
        <v>94</v>
      </c>
    </row>
    <row r="46" spans="1:39" x14ac:dyDescent="0.25">
      <c r="A46" t="s">
        <v>159</v>
      </c>
      <c r="B46" s="5"/>
      <c r="C46" s="5"/>
      <c r="D46" s="5"/>
      <c r="E46" s="5"/>
      <c r="F46" s="5"/>
      <c r="G46" s="68">
        <f>'TT entry &amp; transportation'!P17</f>
        <v>28371</v>
      </c>
      <c r="H46" s="81"/>
      <c r="I46" s="81"/>
      <c r="J46" s="5"/>
      <c r="K46" s="5"/>
      <c r="L46" s="5"/>
      <c r="M46" s="5"/>
      <c r="N46" s="5"/>
      <c r="O46" s="5"/>
      <c r="P46" s="5"/>
      <c r="Q46" s="221"/>
      <c r="R46" s="221"/>
      <c r="S46" s="5"/>
      <c r="T46" s="221"/>
      <c r="U46" s="5"/>
      <c r="V46" s="5"/>
      <c r="W46" s="5"/>
      <c r="X46" s="5"/>
      <c r="Y46" s="221"/>
      <c r="Z46" s="5"/>
      <c r="AA46" s="5"/>
      <c r="AB46" s="5"/>
      <c r="AC46" s="5"/>
      <c r="AD46" s="221"/>
      <c r="AE46" s="5"/>
      <c r="AF46" s="5"/>
      <c r="AG46" s="5"/>
      <c r="AH46" s="5"/>
      <c r="AI46" s="5"/>
      <c r="AJ46" s="68">
        <f>'TT entry &amp; transportation'!P221</f>
        <v>2452.5</v>
      </c>
      <c r="AK46" s="5"/>
      <c r="AL46" s="13">
        <f t="shared" si="2"/>
        <v>30823.5</v>
      </c>
      <c r="AM46" t="s">
        <v>159</v>
      </c>
    </row>
    <row r="47" spans="1:39" x14ac:dyDescent="0.25">
      <c r="A47" t="s">
        <v>95</v>
      </c>
      <c r="B47" s="5"/>
      <c r="C47" s="5"/>
      <c r="D47" s="5"/>
      <c r="E47" s="5"/>
      <c r="F47" s="5"/>
      <c r="G47" s="5"/>
      <c r="H47" s="81"/>
      <c r="I47" s="81"/>
      <c r="J47" s="5"/>
      <c r="K47" s="5"/>
      <c r="L47" s="68">
        <f>'TT entry &amp; transportation'!P65</f>
        <v>5480</v>
      </c>
      <c r="M47" s="5"/>
      <c r="N47" s="5"/>
      <c r="O47" s="5"/>
      <c r="P47" s="5"/>
      <c r="Q47" s="221"/>
      <c r="R47" s="221"/>
      <c r="S47" s="5"/>
      <c r="T47" s="221"/>
      <c r="U47" s="68">
        <f>'TT entry &amp; transportation'!P104</f>
        <v>0</v>
      </c>
      <c r="V47" s="68">
        <f>'TT entry &amp; transportation'!P113</f>
        <v>0</v>
      </c>
      <c r="W47" s="5" t="s">
        <v>1</v>
      </c>
      <c r="X47" s="68">
        <f>'TT entry &amp; transportation'!P138</f>
        <v>2645.5</v>
      </c>
      <c r="Y47" s="221"/>
      <c r="Z47" s="5"/>
      <c r="AA47" s="5"/>
      <c r="AB47" s="68">
        <f>'TT entry &amp; transportation'!P25</f>
        <v>0</v>
      </c>
      <c r="AC47" s="5"/>
      <c r="AD47" s="221"/>
      <c r="AE47" s="5"/>
      <c r="AF47" s="5"/>
      <c r="AG47" s="5"/>
      <c r="AH47" s="5"/>
      <c r="AI47" s="5"/>
      <c r="AJ47" s="5"/>
      <c r="AK47" s="5"/>
      <c r="AL47" s="13">
        <f>SUM(B47:AK47)</f>
        <v>8125.5</v>
      </c>
      <c r="AM47" t="s">
        <v>95</v>
      </c>
    </row>
    <row r="48" spans="1:39" x14ac:dyDescent="0.25">
      <c r="A48" t="s">
        <v>110</v>
      </c>
      <c r="B48" s="27"/>
      <c r="C48" s="5"/>
      <c r="D48" s="5"/>
      <c r="E48" s="5"/>
      <c r="F48" s="5"/>
      <c r="G48" s="5"/>
      <c r="H48" s="82">
        <f>'TT entry &amp; transportation'!P30</f>
        <v>7594.3</v>
      </c>
      <c r="I48" s="81"/>
      <c r="J48" s="5"/>
      <c r="K48" s="5"/>
      <c r="L48" s="5"/>
      <c r="M48" s="5"/>
      <c r="N48" s="5"/>
      <c r="O48" s="5"/>
      <c r="P48" s="5"/>
      <c r="Q48" s="221"/>
      <c r="R48" s="221"/>
      <c r="S48" s="5"/>
      <c r="T48" s="221"/>
      <c r="U48" s="5"/>
      <c r="V48" s="5"/>
      <c r="W48" s="5"/>
      <c r="X48" s="5"/>
      <c r="Y48" s="221"/>
      <c r="Z48" s="5"/>
      <c r="AA48" s="5"/>
      <c r="AB48" s="5"/>
      <c r="AC48" s="5"/>
      <c r="AD48" s="221"/>
      <c r="AE48" s="68">
        <f>'TT entry &amp; transportation'!P162</f>
        <v>711.2</v>
      </c>
      <c r="AF48" s="5"/>
      <c r="AG48" s="68">
        <f>'TT entry &amp; transportation'!P172</f>
        <v>131.6</v>
      </c>
      <c r="AH48" s="5"/>
      <c r="AI48" s="5"/>
      <c r="AJ48" s="5"/>
      <c r="AK48" s="5"/>
      <c r="AL48" s="13">
        <f t="shared" si="2"/>
        <v>8437.1</v>
      </c>
      <c r="AM48" t="s">
        <v>110</v>
      </c>
    </row>
    <row r="49" spans="1:40" x14ac:dyDescent="0.25">
      <c r="A49" t="s">
        <v>121</v>
      </c>
      <c r="B49" s="5"/>
      <c r="C49" s="5"/>
      <c r="D49" s="5"/>
      <c r="E49" s="5"/>
      <c r="F49" s="77">
        <f>'TT entry &amp; transportation'!P7</f>
        <v>0</v>
      </c>
      <c r="G49" s="5"/>
      <c r="H49" s="81"/>
      <c r="I49" s="81"/>
      <c r="J49" s="5"/>
      <c r="K49" s="5"/>
      <c r="L49" s="5"/>
      <c r="M49" s="5"/>
      <c r="N49" s="68">
        <f>'TT entry &amp; transportation'!P78</f>
        <v>1088</v>
      </c>
      <c r="O49" s="68">
        <f>'TT entry &amp; transportation'!P82</f>
        <v>720</v>
      </c>
      <c r="P49" s="5"/>
      <c r="Q49" s="221"/>
      <c r="R49" s="221"/>
      <c r="S49" s="5"/>
      <c r="T49" s="221"/>
      <c r="U49" s="5"/>
      <c r="V49" s="5"/>
      <c r="W49" s="5"/>
      <c r="X49" s="5"/>
      <c r="Y49" s="221"/>
      <c r="Z49" s="5"/>
      <c r="AA49" s="5"/>
      <c r="AB49" s="5"/>
      <c r="AC49" s="5"/>
      <c r="AD49" s="221"/>
      <c r="AE49" s="5"/>
      <c r="AF49" s="5"/>
      <c r="AG49" s="5"/>
      <c r="AH49" s="5"/>
      <c r="AI49" s="5"/>
      <c r="AJ49" s="5"/>
      <c r="AK49" s="5"/>
      <c r="AL49" s="78">
        <f t="shared" si="2"/>
        <v>1808</v>
      </c>
      <c r="AM49" t="s">
        <v>121</v>
      </c>
    </row>
    <row r="50" spans="1:40" x14ac:dyDescent="0.25">
      <c r="A50" t="s">
        <v>131</v>
      </c>
      <c r="B50" s="5"/>
      <c r="C50" s="5"/>
      <c r="D50" s="5"/>
      <c r="E50" s="5"/>
      <c r="F50" s="5"/>
      <c r="G50" s="5"/>
      <c r="H50" s="81"/>
      <c r="I50" s="81"/>
      <c r="J50" s="5"/>
      <c r="K50" s="5"/>
      <c r="L50" s="5"/>
      <c r="M50" s="5"/>
      <c r="N50" s="5"/>
      <c r="O50" s="231"/>
      <c r="P50" s="5"/>
      <c r="Q50" s="221"/>
      <c r="R50" s="221"/>
      <c r="S50" s="5"/>
      <c r="T50" s="221"/>
      <c r="U50" s="5"/>
      <c r="V50" s="5"/>
      <c r="W50" s="5"/>
      <c r="X50" s="5"/>
      <c r="Y50" s="221"/>
      <c r="Z50" s="5"/>
      <c r="AA50" s="5"/>
      <c r="AB50" s="5"/>
      <c r="AC50" s="5"/>
      <c r="AD50" s="221"/>
      <c r="AE50" s="5"/>
      <c r="AF50" s="5"/>
      <c r="AG50" s="5"/>
      <c r="AH50" s="5"/>
      <c r="AI50" s="5"/>
      <c r="AJ50" s="5"/>
      <c r="AK50" s="68">
        <f>'TT entry &amp; transportation'!P224</f>
        <v>2998.8</v>
      </c>
      <c r="AL50" s="13">
        <f t="shared" si="2"/>
        <v>2998.8</v>
      </c>
      <c r="AM50" t="s">
        <v>131</v>
      </c>
    </row>
    <row r="51" spans="1:40" x14ac:dyDescent="0.25">
      <c r="A51" t="s">
        <v>118</v>
      </c>
      <c r="B51" s="5"/>
      <c r="C51" s="5"/>
      <c r="D51" s="5"/>
      <c r="E51" s="5"/>
      <c r="F51" s="5"/>
      <c r="G51" s="5"/>
      <c r="H51" s="81"/>
      <c r="I51" s="81"/>
      <c r="J51" s="5"/>
      <c r="K51" s="5"/>
      <c r="L51" s="68">
        <f>'TT entry &amp; transportation'!P66</f>
        <v>2907.5</v>
      </c>
      <c r="M51" s="5"/>
      <c r="N51" s="5"/>
      <c r="O51" s="5"/>
      <c r="P51" s="5"/>
      <c r="Q51" s="221"/>
      <c r="R51" s="221"/>
      <c r="S51" s="5"/>
      <c r="T51" s="221"/>
      <c r="U51" s="27"/>
      <c r="V51" s="5"/>
      <c r="W51" s="5"/>
      <c r="X51" s="5"/>
      <c r="Y51" s="221"/>
      <c r="Z51" s="5"/>
      <c r="AA51" s="5"/>
      <c r="AB51" s="5"/>
      <c r="AC51" s="5"/>
      <c r="AD51" s="221"/>
      <c r="AE51" s="5"/>
      <c r="AF51" s="5"/>
      <c r="AG51" s="5"/>
      <c r="AH51" s="5"/>
      <c r="AI51" s="5"/>
      <c r="AJ51" s="5"/>
      <c r="AK51" s="5"/>
      <c r="AL51" s="13">
        <f t="shared" si="2"/>
        <v>2907.5</v>
      </c>
      <c r="AM51" t="s">
        <v>118</v>
      </c>
    </row>
    <row r="52" spans="1:40" x14ac:dyDescent="0.25">
      <c r="A52" s="17" t="s">
        <v>206</v>
      </c>
      <c r="B52" s="5"/>
      <c r="C52" s="5"/>
      <c r="D52" s="5"/>
      <c r="E52" s="5"/>
      <c r="F52" s="5"/>
      <c r="G52" s="5"/>
      <c r="H52" s="81"/>
      <c r="I52" s="81"/>
      <c r="J52" s="5"/>
      <c r="K52" s="5"/>
      <c r="L52" s="27"/>
      <c r="M52" s="5"/>
      <c r="N52" s="5"/>
      <c r="O52" s="5"/>
      <c r="P52" s="5"/>
      <c r="Q52" s="221"/>
      <c r="R52" s="221"/>
      <c r="S52" s="5"/>
      <c r="T52" s="221"/>
      <c r="U52" s="5"/>
      <c r="V52" s="5"/>
      <c r="W52" s="27"/>
      <c r="X52" s="5"/>
      <c r="Y52" s="221"/>
      <c r="Z52" s="5"/>
      <c r="AA52" s="5"/>
      <c r="AB52" s="5"/>
      <c r="AC52" s="5"/>
      <c r="AD52" s="221"/>
      <c r="AE52" s="5"/>
      <c r="AF52" s="5"/>
      <c r="AG52" s="5"/>
      <c r="AH52" s="5"/>
      <c r="AI52" s="5"/>
      <c r="AJ52" s="5"/>
      <c r="AK52" s="5"/>
      <c r="AL52" s="13">
        <f t="shared" si="2"/>
        <v>0</v>
      </c>
      <c r="AM52" s="17" t="s">
        <v>206</v>
      </c>
    </row>
    <row r="53" spans="1:40" x14ac:dyDescent="0.25">
      <c r="A53" t="s">
        <v>96</v>
      </c>
      <c r="B53" s="5"/>
      <c r="C53" s="5"/>
      <c r="D53" s="5"/>
      <c r="E53" s="5"/>
      <c r="F53" s="5"/>
      <c r="G53" s="5"/>
      <c r="H53" s="81"/>
      <c r="I53" s="81"/>
      <c r="J53" s="5"/>
      <c r="K53" s="5"/>
      <c r="L53" s="5"/>
      <c r="M53" s="5"/>
      <c r="N53" s="5"/>
      <c r="O53" s="5"/>
      <c r="P53" s="68">
        <f>'TT entry &amp; transportation'!P87</f>
        <v>5551.2</v>
      </c>
      <c r="Q53" s="221"/>
      <c r="R53" s="221"/>
      <c r="S53" s="5"/>
      <c r="T53" s="221"/>
      <c r="U53" s="5"/>
      <c r="V53" s="5"/>
      <c r="W53" s="5"/>
      <c r="X53" s="5"/>
      <c r="Y53" s="221"/>
      <c r="Z53" s="5"/>
      <c r="AA53" s="68">
        <f>'TT entry &amp; transportation'!P159</f>
        <v>537</v>
      </c>
      <c r="AB53" s="5"/>
      <c r="AC53" s="5"/>
      <c r="AD53" s="221"/>
      <c r="AE53" s="5"/>
      <c r="AF53" s="5"/>
      <c r="AG53" s="5"/>
      <c r="AH53" s="5"/>
      <c r="AI53" s="5"/>
      <c r="AJ53" s="5"/>
      <c r="AK53" s="5"/>
      <c r="AL53" s="13">
        <f t="shared" si="2"/>
        <v>6088.2</v>
      </c>
      <c r="AM53" t="s">
        <v>96</v>
      </c>
    </row>
    <row r="54" spans="1:40" x14ac:dyDescent="0.25">
      <c r="A54" t="s">
        <v>114</v>
      </c>
      <c r="B54" s="5"/>
      <c r="C54" s="5"/>
      <c r="D54" s="5"/>
      <c r="E54" s="5"/>
      <c r="F54" s="5"/>
      <c r="G54" s="5"/>
      <c r="H54" s="82">
        <f>'TT entry &amp; transportation'!P31</f>
        <v>0</v>
      </c>
      <c r="I54" s="82">
        <f>'TT entry &amp; transportation'!P46</f>
        <v>9203.2000000000007</v>
      </c>
      <c r="J54" s="5"/>
      <c r="K54" s="5"/>
      <c r="L54" s="5"/>
      <c r="M54" s="5"/>
      <c r="N54" s="5"/>
      <c r="O54" s="5"/>
      <c r="P54" s="5"/>
      <c r="Q54" s="221"/>
      <c r="R54" s="221"/>
      <c r="S54" s="5"/>
      <c r="T54" s="221"/>
      <c r="U54" s="5"/>
      <c r="V54" s="5"/>
      <c r="W54" s="5"/>
      <c r="X54" s="5"/>
      <c r="Y54" s="221"/>
      <c r="Z54" s="5"/>
      <c r="AA54" s="5"/>
      <c r="AB54" s="5"/>
      <c r="AC54" s="5"/>
      <c r="AD54" s="221"/>
      <c r="AE54" s="5"/>
      <c r="AF54" s="5"/>
      <c r="AG54" s="5"/>
      <c r="AH54" s="5"/>
      <c r="AI54" s="5"/>
      <c r="AJ54" s="5"/>
      <c r="AK54" s="5"/>
      <c r="AL54" s="13">
        <f t="shared" si="2"/>
        <v>9203.2000000000007</v>
      </c>
      <c r="AM54" t="s">
        <v>114</v>
      </c>
    </row>
    <row r="55" spans="1:40" x14ac:dyDescent="0.25">
      <c r="A55" t="s">
        <v>102</v>
      </c>
      <c r="B55" s="5"/>
      <c r="C55" s="5"/>
      <c r="D55" s="5"/>
      <c r="E55" s="5"/>
      <c r="F55" s="68">
        <f>'TT entry &amp; transportation'!P8</f>
        <v>1195</v>
      </c>
      <c r="G55" s="68">
        <f>'TT entry &amp; transportation'!P18</f>
        <v>0</v>
      </c>
      <c r="H55" s="81"/>
      <c r="I55" s="81"/>
      <c r="J55" s="5"/>
      <c r="K55" s="5"/>
      <c r="L55" s="5"/>
      <c r="M55" s="5"/>
      <c r="N55" s="5"/>
      <c r="O55" s="5"/>
      <c r="P55" s="5"/>
      <c r="Q55" s="221"/>
      <c r="R55" s="221"/>
      <c r="S55" s="5"/>
      <c r="T55" s="221"/>
      <c r="U55" s="5"/>
      <c r="V55" s="5"/>
      <c r="W55" s="5"/>
      <c r="X55" s="5"/>
      <c r="Y55" s="221"/>
      <c r="Z55" s="68">
        <f>'TT entry &amp; transportation'!P145</f>
        <v>0</v>
      </c>
      <c r="AA55" s="5"/>
      <c r="AB55" s="5"/>
      <c r="AC55" s="5"/>
      <c r="AD55" s="221"/>
      <c r="AE55" s="5"/>
      <c r="AF55" s="5"/>
      <c r="AG55" s="5"/>
      <c r="AH55" s="5"/>
      <c r="AI55" s="5"/>
      <c r="AJ55" s="5"/>
      <c r="AK55" s="5"/>
      <c r="AL55" s="13">
        <f t="shared" si="2"/>
        <v>1195</v>
      </c>
      <c r="AM55" t="s">
        <v>102</v>
      </c>
      <c r="AN55" t="s">
        <v>1</v>
      </c>
    </row>
    <row r="56" spans="1:40" x14ac:dyDescent="0.25">
      <c r="A56" s="129" t="s">
        <v>466</v>
      </c>
      <c r="B56" s="5"/>
      <c r="C56" s="5"/>
      <c r="D56" s="5"/>
      <c r="E56" s="5"/>
      <c r="F56" s="5"/>
      <c r="G56" s="5"/>
      <c r="H56" s="83"/>
      <c r="I56" s="82">
        <f>'TT entry &amp; transportation'!P40</f>
        <v>0</v>
      </c>
      <c r="J56" s="5"/>
      <c r="K56" s="5"/>
      <c r="L56" s="5"/>
      <c r="M56" s="5"/>
      <c r="N56" s="5"/>
      <c r="O56" s="5"/>
      <c r="P56" s="5"/>
      <c r="Q56" s="221"/>
      <c r="R56" s="221"/>
      <c r="S56" s="5"/>
      <c r="T56" s="221"/>
      <c r="U56" s="5"/>
      <c r="V56" s="5"/>
      <c r="W56" s="5"/>
      <c r="X56" s="5"/>
      <c r="Y56" s="221"/>
      <c r="Z56" s="5"/>
      <c r="AA56" s="5"/>
      <c r="AB56" s="5"/>
      <c r="AC56" s="5"/>
      <c r="AD56" s="221"/>
      <c r="AE56" s="70"/>
      <c r="AF56" s="5"/>
      <c r="AG56" s="5"/>
      <c r="AH56" s="5"/>
      <c r="AI56" s="5"/>
      <c r="AJ56" s="5"/>
      <c r="AK56" s="5"/>
      <c r="AL56" s="13">
        <f t="shared" si="2"/>
        <v>0</v>
      </c>
      <c r="AM56" s="3" t="s">
        <v>174</v>
      </c>
    </row>
    <row r="57" spans="1:40" x14ac:dyDescent="0.25">
      <c r="A57" t="s">
        <v>81</v>
      </c>
      <c r="B57" s="5"/>
      <c r="C57" s="5"/>
      <c r="D57" s="5"/>
      <c r="E57" s="5"/>
      <c r="F57" s="5"/>
      <c r="G57" s="5"/>
      <c r="H57" s="81"/>
      <c r="I57" s="81"/>
      <c r="J57" s="5"/>
      <c r="K57" s="5"/>
      <c r="L57" s="5"/>
      <c r="M57" s="5"/>
      <c r="N57" s="5"/>
      <c r="O57" s="5"/>
      <c r="P57" s="5"/>
      <c r="Q57" s="221"/>
      <c r="R57" s="221"/>
      <c r="S57" s="68">
        <f>'TT entry &amp; transportation'!P93</f>
        <v>4558.8</v>
      </c>
      <c r="T57" s="221"/>
      <c r="U57" s="5"/>
      <c r="V57" s="5"/>
      <c r="W57" s="5"/>
      <c r="X57" s="5"/>
      <c r="Y57" s="221"/>
      <c r="Z57" s="5"/>
      <c r="AA57" s="5"/>
      <c r="AB57" s="5"/>
      <c r="AC57" s="5"/>
      <c r="AD57" s="221"/>
      <c r="AE57" s="5"/>
      <c r="AF57" s="5"/>
      <c r="AG57" s="5"/>
      <c r="AH57" s="5"/>
      <c r="AI57" s="68">
        <f>'TT entry &amp; transportation'!P213</f>
        <v>2854.4</v>
      </c>
      <c r="AJ57" s="5"/>
      <c r="AK57" s="5"/>
      <c r="AL57" s="13">
        <f t="shared" si="2"/>
        <v>7413.2</v>
      </c>
      <c r="AM57" t="s">
        <v>81</v>
      </c>
    </row>
    <row r="58" spans="1:40" x14ac:dyDescent="0.25">
      <c r="A58" t="s">
        <v>111</v>
      </c>
      <c r="B58" s="5"/>
      <c r="C58" s="5"/>
      <c r="D58" s="5"/>
      <c r="E58" s="5"/>
      <c r="F58" s="5"/>
      <c r="G58" s="5"/>
      <c r="H58" s="82">
        <f>'TT entry &amp; transportation'!P32</f>
        <v>1035.5999999999999</v>
      </c>
      <c r="I58" s="82">
        <f>'TT entry &amp; transportation'!P47</f>
        <v>0</v>
      </c>
      <c r="J58" s="5"/>
      <c r="K58" s="5"/>
      <c r="L58" s="5"/>
      <c r="M58" s="5"/>
      <c r="N58" s="5"/>
      <c r="O58" s="5"/>
      <c r="P58" s="5"/>
      <c r="Q58" s="221"/>
      <c r="R58" s="221"/>
      <c r="S58" s="5"/>
      <c r="T58" s="221"/>
      <c r="U58" s="5"/>
      <c r="V58" s="5"/>
      <c r="W58" s="5"/>
      <c r="X58" s="5"/>
      <c r="Y58" s="221"/>
      <c r="Z58" s="5"/>
      <c r="AA58" s="5"/>
      <c r="AB58" s="5"/>
      <c r="AC58" s="5"/>
      <c r="AD58" s="221"/>
      <c r="AE58" s="68">
        <f>'TT entry &amp; transportation'!P163</f>
        <v>234</v>
      </c>
      <c r="AF58" s="5"/>
      <c r="AG58" s="68">
        <f>'TT entry &amp; transportation'!P173</f>
        <v>696</v>
      </c>
      <c r="AH58" s="5"/>
      <c r="AI58" s="5"/>
      <c r="AJ58" s="5"/>
      <c r="AK58" s="5"/>
      <c r="AL58" s="13">
        <f>SUM(B58:AK58)</f>
        <v>1965.6</v>
      </c>
      <c r="AM58" t="s">
        <v>111</v>
      </c>
    </row>
    <row r="59" spans="1:40" x14ac:dyDescent="0.25">
      <c r="A59" t="s">
        <v>108</v>
      </c>
      <c r="B59" s="5"/>
      <c r="C59" s="5"/>
      <c r="D59" s="5"/>
      <c r="E59" s="5"/>
      <c r="F59" s="5"/>
      <c r="G59" s="5"/>
      <c r="H59" s="81"/>
      <c r="I59" s="81"/>
      <c r="J59" s="5"/>
      <c r="K59" s="5"/>
      <c r="L59" s="68">
        <f>'TT entry &amp; transportation'!P67</f>
        <v>5229</v>
      </c>
      <c r="M59" s="5"/>
      <c r="N59" s="5"/>
      <c r="O59" s="5"/>
      <c r="P59" s="5"/>
      <c r="Q59" s="221"/>
      <c r="R59" s="221"/>
      <c r="S59" s="5"/>
      <c r="T59" s="221"/>
      <c r="U59" s="5"/>
      <c r="V59" s="5"/>
      <c r="W59" s="68">
        <f>'TT entry &amp; transportation'!P125</f>
        <v>0</v>
      </c>
      <c r="X59" s="5"/>
      <c r="Y59" s="221"/>
      <c r="Z59" s="5"/>
      <c r="AA59" s="5"/>
      <c r="AB59" s="5"/>
      <c r="AC59" s="68">
        <f>'TT entry &amp; transportation'!P153</f>
        <v>4937.3999999999996</v>
      </c>
      <c r="AD59" s="221"/>
      <c r="AE59" s="5"/>
      <c r="AF59" s="68">
        <f>'TT entry &amp; transportation'!P166</f>
        <v>0</v>
      </c>
      <c r="AG59" s="5"/>
      <c r="AH59" s="5"/>
      <c r="AI59" s="5"/>
      <c r="AJ59" s="5"/>
      <c r="AK59" s="5"/>
      <c r="AL59" s="13">
        <f t="shared" si="2"/>
        <v>10166.4</v>
      </c>
      <c r="AM59" t="s">
        <v>108</v>
      </c>
    </row>
    <row r="60" spans="1:40" x14ac:dyDescent="0.25">
      <c r="A60" s="6" t="s">
        <v>321</v>
      </c>
      <c r="B60" s="5"/>
      <c r="C60" s="5"/>
      <c r="D60" s="5"/>
      <c r="E60" s="5"/>
      <c r="F60" s="5"/>
      <c r="G60" s="68">
        <f>'TT entry &amp; transportation'!P19</f>
        <v>18035.400000000001</v>
      </c>
      <c r="H60" s="81"/>
      <c r="I60" s="81"/>
      <c r="J60" s="5"/>
      <c r="K60" s="5"/>
      <c r="L60" s="5"/>
      <c r="M60" s="5"/>
      <c r="N60" s="5"/>
      <c r="O60" s="5"/>
      <c r="P60" s="5"/>
      <c r="Q60" s="221"/>
      <c r="R60" s="221"/>
      <c r="S60" s="5"/>
      <c r="T60" s="221"/>
      <c r="U60" s="5"/>
      <c r="V60" s="5"/>
      <c r="W60" s="5"/>
      <c r="X60" s="5"/>
      <c r="Y60" s="221"/>
      <c r="Z60" s="5"/>
      <c r="AA60" s="5"/>
      <c r="AB60" s="5"/>
      <c r="AC60" s="5"/>
      <c r="AD60" s="221"/>
      <c r="AE60" s="5"/>
      <c r="AF60" s="5"/>
      <c r="AG60" s="5"/>
      <c r="AH60" s="5"/>
      <c r="AI60" s="5"/>
      <c r="AJ60" s="5"/>
      <c r="AK60" s="5"/>
      <c r="AL60" s="13">
        <f t="shared" si="2"/>
        <v>18035.400000000001</v>
      </c>
      <c r="AM60" s="6" t="s">
        <v>321</v>
      </c>
    </row>
    <row r="61" spans="1:40" x14ac:dyDescent="0.25">
      <c r="A61" t="s">
        <v>142</v>
      </c>
      <c r="B61" s="5"/>
      <c r="C61" s="181">
        <f>'TT entry &amp; transportation'!P183</f>
        <v>0</v>
      </c>
      <c r="D61" s="5"/>
      <c r="E61" s="5"/>
      <c r="F61" s="5"/>
      <c r="G61" s="5"/>
      <c r="H61" s="81"/>
      <c r="I61" s="81"/>
      <c r="J61" s="73">
        <f>'TT entry &amp; transportation'!P200</f>
        <v>0</v>
      </c>
      <c r="K61" s="5"/>
      <c r="L61" s="5"/>
      <c r="M61" s="5"/>
      <c r="N61" s="5"/>
      <c r="O61" s="5"/>
      <c r="P61" s="5"/>
      <c r="Q61" s="221"/>
      <c r="R61" s="221"/>
      <c r="S61" s="5"/>
      <c r="T61" s="221"/>
      <c r="U61" s="5"/>
      <c r="V61" s="5"/>
      <c r="W61" s="5"/>
      <c r="X61" s="5"/>
      <c r="Y61" s="221"/>
      <c r="Z61" s="5"/>
      <c r="AA61" s="5"/>
      <c r="AB61" s="5"/>
      <c r="AC61" s="5"/>
      <c r="AD61" s="221"/>
      <c r="AE61" s="5"/>
      <c r="AF61" s="5"/>
      <c r="AG61" s="5"/>
      <c r="AH61" s="5"/>
      <c r="AI61" s="5"/>
      <c r="AJ61" s="5"/>
      <c r="AK61" s="5"/>
      <c r="AL61" s="13">
        <f t="shared" si="2"/>
        <v>0</v>
      </c>
      <c r="AM61" t="s">
        <v>142</v>
      </c>
    </row>
    <row r="62" spans="1:40" x14ac:dyDescent="0.25">
      <c r="A62" t="s">
        <v>75</v>
      </c>
      <c r="B62" s="5"/>
      <c r="C62" s="5"/>
      <c r="D62" s="5"/>
      <c r="E62" s="5"/>
      <c r="F62" s="5"/>
      <c r="G62" s="5"/>
      <c r="H62" s="81"/>
      <c r="I62" s="82">
        <f>'TT entry &amp; transportation'!P49</f>
        <v>0</v>
      </c>
      <c r="J62" s="5"/>
      <c r="K62" s="5"/>
      <c r="L62" s="68">
        <f>'TT entry &amp; transportation'!P68</f>
        <v>0</v>
      </c>
      <c r="M62" s="5"/>
      <c r="N62" s="5"/>
      <c r="O62" s="5"/>
      <c r="P62" s="5"/>
      <c r="Q62" s="221"/>
      <c r="R62" s="221"/>
      <c r="S62" s="5"/>
      <c r="T62" s="221"/>
      <c r="U62" s="71">
        <f>'TT entry &amp; transportation'!P105</f>
        <v>1280</v>
      </c>
      <c r="V62" s="5"/>
      <c r="W62" s="5"/>
      <c r="X62" s="5"/>
      <c r="Y62" s="221"/>
      <c r="Z62" s="5"/>
      <c r="AA62" s="5"/>
      <c r="AB62" s="5"/>
      <c r="AC62" s="5"/>
      <c r="AD62" s="221"/>
      <c r="AE62" s="5"/>
      <c r="AF62" s="73">
        <f>'TT entry &amp; transportation'!P167</f>
        <v>2125</v>
      </c>
      <c r="AG62" s="5"/>
      <c r="AH62" s="5"/>
      <c r="AI62" s="5"/>
      <c r="AJ62" s="5"/>
      <c r="AK62" s="5"/>
      <c r="AL62" s="13">
        <f t="shared" si="2"/>
        <v>3405</v>
      </c>
      <c r="AM62" t="s">
        <v>75</v>
      </c>
    </row>
    <row r="63" spans="1:40" x14ac:dyDescent="0.25">
      <c r="A63" t="s">
        <v>99</v>
      </c>
      <c r="B63" s="5"/>
      <c r="C63" s="5"/>
      <c r="D63" s="5"/>
      <c r="E63" s="181">
        <f>'TT entry &amp; transportation'!P192</f>
        <v>0</v>
      </c>
      <c r="F63" s="5"/>
      <c r="G63" s="5"/>
      <c r="H63" s="81"/>
      <c r="I63" s="81"/>
      <c r="J63" s="5"/>
      <c r="K63" s="5"/>
      <c r="L63" s="5"/>
      <c r="M63" s="5"/>
      <c r="N63" s="5"/>
      <c r="O63" s="5"/>
      <c r="P63" s="5"/>
      <c r="Q63" s="221"/>
      <c r="R63" s="221"/>
      <c r="S63" s="5"/>
      <c r="T63" s="221"/>
      <c r="U63" s="5"/>
      <c r="V63" s="5"/>
      <c r="W63" s="5"/>
      <c r="X63" s="5"/>
      <c r="Y63" s="221"/>
      <c r="Z63" s="5"/>
      <c r="AA63" s="5"/>
      <c r="AB63" s="5"/>
      <c r="AC63" s="5"/>
      <c r="AD63" s="221"/>
      <c r="AE63" s="5"/>
      <c r="AF63" s="5"/>
      <c r="AG63" s="5"/>
      <c r="AH63" s="5"/>
      <c r="AI63" s="5"/>
      <c r="AJ63" s="5"/>
      <c r="AK63" s="5"/>
      <c r="AL63" s="79">
        <f t="shared" si="2"/>
        <v>0</v>
      </c>
      <c r="AM63" t="s">
        <v>99</v>
      </c>
    </row>
    <row r="64" spans="1:40" x14ac:dyDescent="0.25">
      <c r="A64" t="s">
        <v>100</v>
      </c>
      <c r="B64" s="5"/>
      <c r="C64" s="5"/>
      <c r="D64" s="5"/>
      <c r="E64" s="5"/>
      <c r="F64" s="5"/>
      <c r="G64" s="68">
        <f>'TT entry &amp; transportation'!P20</f>
        <v>8017.5</v>
      </c>
      <c r="H64" s="81"/>
      <c r="I64" s="82">
        <f>'TT entry &amp; transportation'!P50</f>
        <v>0</v>
      </c>
      <c r="J64" s="5"/>
      <c r="K64" s="5"/>
      <c r="L64" s="5"/>
      <c r="M64" s="5"/>
      <c r="N64" s="5"/>
      <c r="O64" s="5"/>
      <c r="P64" s="5"/>
      <c r="Q64" s="221"/>
      <c r="R64" s="221"/>
      <c r="S64" s="5"/>
      <c r="T64" s="221"/>
      <c r="U64" s="5"/>
      <c r="V64" s="5"/>
      <c r="W64" s="5"/>
      <c r="X64" s="5"/>
      <c r="Y64" s="221"/>
      <c r="Z64" s="5"/>
      <c r="AA64" s="5"/>
      <c r="AB64" s="5"/>
      <c r="AC64" s="5"/>
      <c r="AD64" s="221"/>
      <c r="AE64" s="5"/>
      <c r="AF64" s="5"/>
      <c r="AG64" s="5"/>
      <c r="AH64" s="5"/>
      <c r="AI64" s="5"/>
      <c r="AJ64" s="5"/>
      <c r="AK64" s="5"/>
      <c r="AL64" s="13">
        <f>SUM(B64:AK64)</f>
        <v>8017.5</v>
      </c>
      <c r="AM64" t="s">
        <v>100</v>
      </c>
    </row>
    <row r="65" spans="1:39" x14ac:dyDescent="0.25">
      <c r="A65" t="s">
        <v>493</v>
      </c>
      <c r="B65" s="5"/>
      <c r="C65" s="5"/>
      <c r="D65" s="5"/>
      <c r="E65" s="5"/>
      <c r="F65" s="5"/>
      <c r="G65" s="231"/>
      <c r="H65" s="82">
        <f>'TT entry &amp; transportation'!P35</f>
        <v>258</v>
      </c>
      <c r="I65" s="82">
        <f>'TT entry &amp; transportation'!P52</f>
        <v>0</v>
      </c>
      <c r="J65" s="5"/>
      <c r="K65" s="5"/>
      <c r="L65" s="5"/>
      <c r="M65" s="5"/>
      <c r="N65" s="5"/>
      <c r="O65" s="5"/>
      <c r="P65" s="5"/>
      <c r="Q65" s="221"/>
      <c r="R65" s="221"/>
      <c r="S65" s="5"/>
      <c r="T65" s="221"/>
      <c r="U65" s="5"/>
      <c r="V65" s="5"/>
      <c r="W65" s="5"/>
      <c r="X65" s="5"/>
      <c r="Y65" s="221"/>
      <c r="Z65" s="5"/>
      <c r="AA65" s="5"/>
      <c r="AB65" s="5"/>
      <c r="AC65" s="5"/>
      <c r="AD65" s="221"/>
      <c r="AE65" s="5"/>
      <c r="AF65" s="5"/>
      <c r="AG65" s="5"/>
      <c r="AH65" s="5"/>
      <c r="AI65" s="5"/>
      <c r="AJ65" s="5"/>
      <c r="AK65" s="5"/>
      <c r="AL65" s="13">
        <f>SUM(B65:AK65)</f>
        <v>258</v>
      </c>
      <c r="AM65" s="6" t="s">
        <v>493</v>
      </c>
    </row>
    <row r="66" spans="1:39" x14ac:dyDescent="0.25">
      <c r="A66" t="s">
        <v>70</v>
      </c>
      <c r="B66" s="5"/>
      <c r="C66" s="15"/>
      <c r="D66" s="5"/>
      <c r="E66" s="5"/>
      <c r="F66" s="5"/>
      <c r="G66" s="5"/>
      <c r="H66" s="81"/>
      <c r="I66" s="81"/>
      <c r="J66" s="5"/>
      <c r="K66" s="5"/>
      <c r="L66" s="5"/>
      <c r="M66" s="5"/>
      <c r="N66" s="5"/>
      <c r="O66" s="5"/>
      <c r="P66" s="5"/>
      <c r="Q66" s="221"/>
      <c r="R66" s="221"/>
      <c r="S66" s="68">
        <f>'TT entry &amp; transportation'!P94</f>
        <v>4956</v>
      </c>
      <c r="T66" s="221"/>
      <c r="U66" s="5"/>
      <c r="V66" s="5"/>
      <c r="W66" s="5"/>
      <c r="X66" s="5"/>
      <c r="Y66" s="221"/>
      <c r="Z66" s="5"/>
      <c r="AA66" s="5"/>
      <c r="AB66" s="5"/>
      <c r="AC66" s="5"/>
      <c r="AD66" s="221"/>
      <c r="AE66" s="5"/>
      <c r="AF66" s="5"/>
      <c r="AG66" s="5"/>
      <c r="AH66" s="5"/>
      <c r="AI66" s="68">
        <f>'TT entry &amp; transportation'!P214</f>
        <v>1203.5999999999999</v>
      </c>
      <c r="AJ66" s="5"/>
      <c r="AK66" s="5"/>
      <c r="AL66" s="13">
        <f t="shared" si="2"/>
        <v>6159.6</v>
      </c>
      <c r="AM66" t="s">
        <v>70</v>
      </c>
    </row>
    <row r="67" spans="1:39" x14ac:dyDescent="0.25">
      <c r="A67" t="s">
        <v>157</v>
      </c>
      <c r="B67" s="5"/>
      <c r="C67" s="5"/>
      <c r="D67" s="5"/>
      <c r="E67" s="5"/>
      <c r="F67" s="5"/>
      <c r="G67" s="5"/>
      <c r="H67" s="81"/>
      <c r="I67" s="81"/>
      <c r="J67" s="5"/>
      <c r="K67" s="5"/>
      <c r="L67" s="5"/>
      <c r="M67" s="5"/>
      <c r="N67" s="5"/>
      <c r="O67" s="5"/>
      <c r="P67" s="5"/>
      <c r="Q67" s="221"/>
      <c r="R67" s="221"/>
      <c r="S67" s="5"/>
      <c r="T67" s="221"/>
      <c r="U67" s="5"/>
      <c r="V67" s="5"/>
      <c r="W67" s="5"/>
      <c r="X67" s="5"/>
      <c r="Y67" s="221"/>
      <c r="Z67" s="5"/>
      <c r="AA67" s="5"/>
      <c r="AB67" s="5"/>
      <c r="AC67" s="5"/>
      <c r="AD67" s="221"/>
      <c r="AE67" s="5"/>
      <c r="AF67" s="5"/>
      <c r="AG67" s="5"/>
      <c r="AH67" s="5"/>
      <c r="AI67" s="5"/>
      <c r="AJ67" s="5"/>
      <c r="AK67" s="68">
        <f>'TT entry &amp; transportation'!P225</f>
        <v>14983.2</v>
      </c>
      <c r="AL67" s="13">
        <f t="shared" si="2"/>
        <v>14983.2</v>
      </c>
      <c r="AM67" t="s">
        <v>157</v>
      </c>
    </row>
    <row r="68" spans="1:39" x14ac:dyDescent="0.25">
      <c r="A68" t="s">
        <v>115</v>
      </c>
      <c r="B68" s="5"/>
      <c r="C68" s="5"/>
      <c r="D68" s="5"/>
      <c r="E68" s="5"/>
      <c r="F68" s="5"/>
      <c r="G68" s="5"/>
      <c r="H68" s="82">
        <f>'TT entry &amp; transportation'!P33</f>
        <v>747.5</v>
      </c>
      <c r="I68" s="82">
        <f>'TT entry &amp; transportation'!P53</f>
        <v>16217.6</v>
      </c>
      <c r="J68" s="5"/>
      <c r="K68" s="5"/>
      <c r="L68" s="5"/>
      <c r="M68" s="5"/>
      <c r="N68" s="5"/>
      <c r="O68" s="5"/>
      <c r="P68" s="5"/>
      <c r="Q68" s="221"/>
      <c r="R68" s="221"/>
      <c r="S68" s="5"/>
      <c r="T68" s="221"/>
      <c r="U68" s="5"/>
      <c r="V68" s="5"/>
      <c r="W68" s="5"/>
      <c r="X68" s="5"/>
      <c r="Y68" s="221"/>
      <c r="Z68" s="5"/>
      <c r="AA68" s="5"/>
      <c r="AB68" s="5"/>
      <c r="AC68" s="5"/>
      <c r="AD68" s="221"/>
      <c r="AE68" s="5"/>
      <c r="AF68" s="5"/>
      <c r="AG68" s="5"/>
      <c r="AH68" s="5"/>
      <c r="AI68" s="5"/>
      <c r="AJ68" s="5"/>
      <c r="AK68" s="5"/>
      <c r="AL68" s="13">
        <f t="shared" si="2"/>
        <v>16965.099999999999</v>
      </c>
      <c r="AM68" t="s">
        <v>115</v>
      </c>
    </row>
    <row r="69" spans="1:39" x14ac:dyDescent="0.25">
      <c r="A69" t="s">
        <v>71</v>
      </c>
      <c r="B69" s="5"/>
      <c r="C69" s="68">
        <f>'TT entry &amp; transportation'!P184</f>
        <v>1179</v>
      </c>
      <c r="D69" s="5"/>
      <c r="E69" s="5"/>
      <c r="F69" s="5"/>
      <c r="G69" s="5"/>
      <c r="H69" s="81"/>
      <c r="I69" s="81"/>
      <c r="J69" s="68">
        <f>'TT entry &amp; transportation'!P201</f>
        <v>739.2</v>
      </c>
      <c r="K69" s="5"/>
      <c r="L69" s="5"/>
      <c r="M69" s="5"/>
      <c r="N69" s="5"/>
      <c r="O69" s="5"/>
      <c r="P69" s="5"/>
      <c r="Q69" s="221"/>
      <c r="R69" s="221"/>
      <c r="S69" s="5"/>
      <c r="T69" s="221"/>
      <c r="U69" s="5"/>
      <c r="V69" s="5"/>
      <c r="W69" s="5"/>
      <c r="X69" s="5"/>
      <c r="Y69" s="221"/>
      <c r="Z69" s="5"/>
      <c r="AA69" s="5"/>
      <c r="AB69" s="5"/>
      <c r="AC69" s="5"/>
      <c r="AD69" s="221"/>
      <c r="AE69" s="5"/>
      <c r="AF69" s="5"/>
      <c r="AG69" s="5"/>
      <c r="AH69" s="5"/>
      <c r="AI69" s="5"/>
      <c r="AJ69" s="5"/>
      <c r="AK69" s="5"/>
      <c r="AL69" s="13">
        <f t="shared" si="2"/>
        <v>1918.2</v>
      </c>
      <c r="AM69" t="s">
        <v>71</v>
      </c>
    </row>
    <row r="70" spans="1:39" x14ac:dyDescent="0.25">
      <c r="A70" t="s">
        <v>72</v>
      </c>
      <c r="B70" s="5"/>
      <c r="C70" s="5"/>
      <c r="D70" s="5"/>
      <c r="E70" s="5"/>
      <c r="F70" s="5"/>
      <c r="G70" s="5"/>
      <c r="H70" s="84">
        <f>'TT entry &amp; transportation'!P34</f>
        <v>3691.2</v>
      </c>
      <c r="I70" s="82">
        <f>'TT entry &amp; transportation'!P54</f>
        <v>0</v>
      </c>
      <c r="J70" s="5"/>
      <c r="K70" s="5"/>
      <c r="L70" s="5"/>
      <c r="M70" s="5"/>
      <c r="N70" s="5"/>
      <c r="O70" s="5"/>
      <c r="P70" s="5"/>
      <c r="Q70" s="221"/>
      <c r="R70" s="221"/>
      <c r="S70" s="5"/>
      <c r="T70" s="221"/>
      <c r="U70" s="69">
        <f>'TT entry &amp; transportation'!P106</f>
        <v>0</v>
      </c>
      <c r="V70" s="5"/>
      <c r="W70" s="5"/>
      <c r="X70" s="5"/>
      <c r="Y70" s="221"/>
      <c r="Z70" s="5"/>
      <c r="AA70" s="5"/>
      <c r="AB70" s="5"/>
      <c r="AC70" s="5"/>
      <c r="AD70" s="221"/>
      <c r="AE70" s="5"/>
      <c r="AF70" s="5"/>
      <c r="AG70" s="68">
        <f>'TT entry &amp; transportation'!P174</f>
        <v>355.2</v>
      </c>
      <c r="AH70" s="5"/>
      <c r="AI70" s="5"/>
      <c r="AJ70" s="5"/>
      <c r="AK70" s="5"/>
      <c r="AL70" s="13">
        <f>SUM(B70:AK70)</f>
        <v>4046.4</v>
      </c>
      <c r="AM70" t="s">
        <v>72</v>
      </c>
    </row>
    <row r="71" spans="1:39" s="247" customFormat="1" x14ac:dyDescent="0.25">
      <c r="A71" s="247" t="s">
        <v>586</v>
      </c>
      <c r="B71" s="5"/>
      <c r="C71" s="5"/>
      <c r="D71" s="5"/>
      <c r="E71" s="5"/>
      <c r="F71" s="5"/>
      <c r="G71" s="5"/>
      <c r="H71" s="84"/>
      <c r="I71" s="82"/>
      <c r="J71" s="5"/>
      <c r="K71" s="5"/>
      <c r="L71" s="5"/>
      <c r="M71" s="5"/>
      <c r="N71" s="5"/>
      <c r="O71" s="5"/>
      <c r="P71" s="5"/>
      <c r="Q71" s="221"/>
      <c r="R71" s="221"/>
      <c r="S71" s="5"/>
      <c r="T71" s="221"/>
      <c r="U71" s="15"/>
      <c r="V71" s="5"/>
      <c r="W71" s="5"/>
      <c r="X71" s="5"/>
      <c r="Y71" s="221"/>
      <c r="Z71" s="5"/>
      <c r="AA71" s="5"/>
      <c r="AB71" s="5"/>
      <c r="AC71" s="5"/>
      <c r="AD71" s="221"/>
      <c r="AE71" s="5"/>
      <c r="AF71" s="5"/>
      <c r="AG71" s="68">
        <f>'TT entry &amp; transportation'!P175</f>
        <v>0</v>
      </c>
      <c r="AH71" s="5"/>
      <c r="AI71" s="5"/>
      <c r="AJ71" s="5"/>
      <c r="AK71" s="5"/>
      <c r="AL71" s="13">
        <v>0</v>
      </c>
      <c r="AM71" s="228" t="s">
        <v>593</v>
      </c>
    </row>
    <row r="72" spans="1:39" x14ac:dyDescent="0.25">
      <c r="A72" t="s">
        <v>73</v>
      </c>
      <c r="B72" s="5"/>
      <c r="C72" s="5"/>
      <c r="D72" s="5"/>
      <c r="E72" s="5"/>
      <c r="F72" s="5"/>
      <c r="G72" s="5"/>
      <c r="H72" s="81"/>
      <c r="I72" s="81"/>
      <c r="J72" s="5"/>
      <c r="K72" s="5"/>
      <c r="L72" s="27"/>
      <c r="M72" s="5"/>
      <c r="N72" s="5"/>
      <c r="O72" s="5"/>
      <c r="P72" s="5"/>
      <c r="Q72" s="221"/>
      <c r="R72" s="221"/>
      <c r="S72" s="5"/>
      <c r="T72" s="221"/>
      <c r="U72" s="5"/>
      <c r="V72" s="5"/>
      <c r="W72" s="5"/>
      <c r="X72" s="5"/>
      <c r="Y72" s="221"/>
      <c r="Z72" s="5"/>
      <c r="AA72" s="5"/>
      <c r="AB72" s="5"/>
      <c r="AC72" s="68">
        <f>'TT entry &amp; transportation'!P154</f>
        <v>1690</v>
      </c>
      <c r="AD72" s="221"/>
      <c r="AE72" s="5"/>
      <c r="AF72" s="5"/>
      <c r="AG72" s="5"/>
      <c r="AH72" s="5"/>
      <c r="AI72" s="5"/>
      <c r="AJ72" s="5"/>
      <c r="AK72" s="5"/>
      <c r="AL72" s="13">
        <f t="shared" ref="AL72:AL87" si="3">SUM(B72:AK72)</f>
        <v>1690</v>
      </c>
      <c r="AM72" t="s">
        <v>73</v>
      </c>
    </row>
    <row r="73" spans="1:39" x14ac:dyDescent="0.25">
      <c r="A73" t="s">
        <v>91</v>
      </c>
      <c r="B73" s="5"/>
      <c r="C73" s="5"/>
      <c r="D73" s="5"/>
      <c r="E73" s="5"/>
      <c r="F73" s="5"/>
      <c r="G73" s="5"/>
      <c r="H73" s="81"/>
      <c r="I73" s="82">
        <f>'TT entry &amp; transportation'!P55</f>
        <v>11138.4</v>
      </c>
      <c r="J73" s="5"/>
      <c r="K73" s="5"/>
      <c r="L73" s="5"/>
      <c r="M73" s="5"/>
      <c r="N73" s="5"/>
      <c r="O73" s="5"/>
      <c r="P73" s="5"/>
      <c r="Q73" s="221"/>
      <c r="R73" s="221"/>
      <c r="S73" s="5"/>
      <c r="T73" s="221"/>
      <c r="U73" s="5"/>
      <c r="V73" s="5"/>
      <c r="W73" s="68">
        <f>'TT entry &amp; transportation'!P127</f>
        <v>190</v>
      </c>
      <c r="X73" s="5"/>
      <c r="Y73" s="221"/>
      <c r="Z73" s="5"/>
      <c r="AA73" s="5"/>
      <c r="AB73" s="5"/>
      <c r="AC73" s="68">
        <f>'TT entry &amp; transportation'!P155</f>
        <v>0</v>
      </c>
      <c r="AD73" s="221"/>
      <c r="AE73" s="5"/>
      <c r="AF73" s="5"/>
      <c r="AG73" s="5"/>
      <c r="AH73" s="5"/>
      <c r="AI73" s="5"/>
      <c r="AJ73" s="5"/>
      <c r="AK73" s="5"/>
      <c r="AL73" s="13">
        <f t="shared" si="3"/>
        <v>11328.4</v>
      </c>
      <c r="AM73" t="s">
        <v>91</v>
      </c>
    </row>
    <row r="74" spans="1:39" x14ac:dyDescent="0.25">
      <c r="A74" t="s">
        <v>123</v>
      </c>
      <c r="B74" s="5"/>
      <c r="C74" s="5"/>
      <c r="D74" s="5"/>
      <c r="E74" s="5"/>
      <c r="F74" s="5"/>
      <c r="G74" s="5"/>
      <c r="H74" s="81"/>
      <c r="I74" s="81"/>
      <c r="J74" s="5"/>
      <c r="K74" s="5"/>
      <c r="L74" s="5"/>
      <c r="M74" s="5"/>
      <c r="N74" s="5"/>
      <c r="O74" s="5"/>
      <c r="P74" s="68">
        <f>'TT entry &amp; transportation'!P88</f>
        <v>9814.7000000000007</v>
      </c>
      <c r="Q74" s="68">
        <f>'TT entry &amp; transportation'!P231</f>
        <v>0</v>
      </c>
      <c r="R74" s="68"/>
      <c r="S74" s="5"/>
      <c r="T74" s="221"/>
      <c r="U74" s="5"/>
      <c r="V74" s="5"/>
      <c r="W74" s="5"/>
      <c r="X74" s="5"/>
      <c r="Y74" s="221"/>
      <c r="Z74" s="5"/>
      <c r="AA74" s="5"/>
      <c r="AB74" s="5"/>
      <c r="AC74" s="5"/>
      <c r="AD74" s="221"/>
      <c r="AE74" s="5"/>
      <c r="AF74" s="5"/>
      <c r="AG74" s="5"/>
      <c r="AH74" s="5"/>
      <c r="AI74" s="5"/>
      <c r="AJ74" s="68">
        <f>'TT entry &amp; transportation'!P216</f>
        <v>0</v>
      </c>
      <c r="AK74" s="5"/>
      <c r="AL74" s="13">
        <f>SUM(B74:AK74)-Q74</f>
        <v>9814.7000000000007</v>
      </c>
      <c r="AM74" t="s">
        <v>123</v>
      </c>
    </row>
    <row r="75" spans="1:39" x14ac:dyDescent="0.25">
      <c r="A75" s="276" t="s">
        <v>74</v>
      </c>
      <c r="B75" s="5"/>
      <c r="C75" s="5"/>
      <c r="D75" s="5"/>
      <c r="E75" s="5"/>
      <c r="F75" s="5"/>
      <c r="G75" s="5"/>
      <c r="H75" s="82">
        <f>'TT entry &amp; transportation'!P36</f>
        <v>1586.2</v>
      </c>
      <c r="I75" s="81"/>
      <c r="J75" s="5"/>
      <c r="K75" s="5"/>
      <c r="L75" s="5"/>
      <c r="M75" s="5"/>
      <c r="N75" s="5"/>
      <c r="O75" s="5"/>
      <c r="P75" s="5"/>
      <c r="Q75" s="221"/>
      <c r="R75" s="221"/>
      <c r="S75" s="5"/>
      <c r="T75" s="221"/>
      <c r="U75" s="5"/>
      <c r="V75" s="5"/>
      <c r="W75" s="5"/>
      <c r="X75" s="5"/>
      <c r="Y75" s="221"/>
      <c r="Z75" s="5"/>
      <c r="AA75" s="5"/>
      <c r="AB75" s="5"/>
      <c r="AC75" s="5"/>
      <c r="AD75" s="221"/>
      <c r="AE75" s="68">
        <f>'TT entry &amp; transportation'!P164</f>
        <v>292.8</v>
      </c>
      <c r="AF75" s="5"/>
      <c r="AG75" s="5" t="s">
        <v>1</v>
      </c>
      <c r="AH75" s="5"/>
      <c r="AI75" s="5"/>
      <c r="AJ75" s="5"/>
      <c r="AK75" s="5"/>
      <c r="AL75" s="460">
        <f>SUM(B75:AK75)+'TT entry &amp; transportation'!P175</f>
        <v>1879</v>
      </c>
      <c r="AM75" s="276" t="s">
        <v>74</v>
      </c>
    </row>
    <row r="76" spans="1:39" x14ac:dyDescent="0.25">
      <c r="A76" t="s">
        <v>119</v>
      </c>
      <c r="B76" s="5"/>
      <c r="C76" s="5"/>
      <c r="D76" s="5"/>
      <c r="E76" s="5"/>
      <c r="F76" s="5"/>
      <c r="G76" s="5"/>
      <c r="H76" s="81"/>
      <c r="I76" s="81"/>
      <c r="J76" s="5"/>
      <c r="K76" s="5"/>
      <c r="L76" s="68">
        <f>'TT entry &amp; transportation'!P69</f>
        <v>1430</v>
      </c>
      <c r="M76" s="5"/>
      <c r="N76" s="5"/>
      <c r="O76" s="5"/>
      <c r="P76" s="5"/>
      <c r="Q76" s="221"/>
      <c r="R76" s="221"/>
      <c r="S76" s="5"/>
      <c r="T76" s="221"/>
      <c r="U76" s="68">
        <f>'TT entry &amp; transportation'!P107</f>
        <v>0</v>
      </c>
      <c r="V76" s="68">
        <f>'TT entry &amp; transportation'!P114</f>
        <v>0</v>
      </c>
      <c r="W76" s="68">
        <f>'TT entry &amp; transportation'!P128</f>
        <v>735</v>
      </c>
      <c r="X76" s="68">
        <f>'TT entry &amp; transportation'!P139</f>
        <v>485.6</v>
      </c>
      <c r="Y76" s="221"/>
      <c r="Z76" s="5"/>
      <c r="AA76" s="5"/>
      <c r="AB76" s="5"/>
      <c r="AC76" s="5"/>
      <c r="AD76" s="221"/>
      <c r="AE76" s="5"/>
      <c r="AF76" s="5"/>
      <c r="AG76" s="5"/>
      <c r="AH76" s="5"/>
      <c r="AI76" s="5"/>
      <c r="AJ76" s="5"/>
      <c r="AK76" s="5"/>
      <c r="AL76" s="13">
        <f t="shared" si="3"/>
        <v>2650.6</v>
      </c>
      <c r="AM76" t="s">
        <v>119</v>
      </c>
    </row>
    <row r="77" spans="1:39" x14ac:dyDescent="0.25">
      <c r="A77" t="s">
        <v>235</v>
      </c>
      <c r="B77" s="5"/>
      <c r="C77" s="5"/>
      <c r="D77" s="5"/>
      <c r="E77" s="5"/>
      <c r="F77" s="5"/>
      <c r="G77" s="5"/>
      <c r="H77" s="81"/>
      <c r="I77" s="81"/>
      <c r="J77" s="5"/>
      <c r="K77" s="68">
        <f>'TT entry &amp; transportation'!P204</f>
        <v>0</v>
      </c>
      <c r="L77" s="27"/>
      <c r="M77" s="5"/>
      <c r="N77" s="5"/>
      <c r="O77" s="5"/>
      <c r="P77" s="5"/>
      <c r="Q77" s="221"/>
      <c r="R77" s="221"/>
      <c r="S77" s="5"/>
      <c r="T77" s="221"/>
      <c r="U77" s="27"/>
      <c r="V77" s="5"/>
      <c r="W77" s="27"/>
      <c r="X77" s="27"/>
      <c r="Y77" s="221"/>
      <c r="Z77" s="5"/>
      <c r="AA77" s="5"/>
      <c r="AB77" s="5"/>
      <c r="AC77" s="5"/>
      <c r="AD77" s="221"/>
      <c r="AE77" s="5"/>
      <c r="AF77" s="5"/>
      <c r="AG77" s="5"/>
      <c r="AH77" s="5"/>
      <c r="AI77" s="5"/>
      <c r="AJ77" s="5"/>
      <c r="AK77" s="5"/>
      <c r="AL77" s="13">
        <f t="shared" si="3"/>
        <v>0</v>
      </c>
      <c r="AM77" s="6" t="s">
        <v>235</v>
      </c>
    </row>
    <row r="78" spans="1:39" x14ac:dyDescent="0.25">
      <c r="A78" t="s">
        <v>154</v>
      </c>
      <c r="B78" s="5"/>
      <c r="C78" s="5"/>
      <c r="D78" s="5"/>
      <c r="E78" s="68">
        <f>'TT entry &amp; transportation'!P193</f>
        <v>155.69999999999999</v>
      </c>
      <c r="F78" s="5"/>
      <c r="G78" s="5"/>
      <c r="H78" s="81"/>
      <c r="I78" s="81"/>
      <c r="J78" s="5"/>
      <c r="K78" s="5"/>
      <c r="L78" s="5"/>
      <c r="M78" s="5"/>
      <c r="N78" s="5"/>
      <c r="O78" s="5"/>
      <c r="P78" s="5"/>
      <c r="Q78" s="221"/>
      <c r="R78" s="221"/>
      <c r="S78" s="5"/>
      <c r="T78" s="221"/>
      <c r="U78" s="5"/>
      <c r="V78" s="5"/>
      <c r="W78" s="5"/>
      <c r="X78" s="5"/>
      <c r="Y78" s="221"/>
      <c r="Z78" s="5"/>
      <c r="AA78" s="5"/>
      <c r="AB78" s="5"/>
      <c r="AC78" s="5"/>
      <c r="AD78" s="221"/>
      <c r="AE78" s="5"/>
      <c r="AF78" s="5"/>
      <c r="AG78" s="5"/>
      <c r="AH78" s="5"/>
      <c r="AI78" s="5"/>
      <c r="AJ78" s="5"/>
      <c r="AK78" s="5"/>
      <c r="AL78" s="13">
        <f t="shared" si="3"/>
        <v>155.69999999999999</v>
      </c>
      <c r="AM78" t="s">
        <v>154</v>
      </c>
    </row>
    <row r="79" spans="1:39" s="864" customFormat="1" x14ac:dyDescent="0.25">
      <c r="A79" s="864" t="s">
        <v>871</v>
      </c>
      <c r="B79" s="5"/>
      <c r="C79" s="5"/>
      <c r="D79" s="5"/>
      <c r="E79" s="5"/>
      <c r="F79" s="5"/>
      <c r="G79" s="5"/>
      <c r="H79" s="82">
        <f>'TT entry &amp; transportation'!P37</f>
        <v>570</v>
      </c>
      <c r="I79" s="81"/>
      <c r="J79" s="5"/>
      <c r="K79" s="5"/>
      <c r="L79" s="5"/>
      <c r="M79" s="5"/>
      <c r="N79" s="5"/>
      <c r="O79" s="5"/>
      <c r="P79" s="5"/>
      <c r="Q79" s="221"/>
      <c r="R79" s="221"/>
      <c r="S79" s="5"/>
      <c r="T79" s="221"/>
      <c r="U79" s="5"/>
      <c r="V79" s="5"/>
      <c r="W79" s="5"/>
      <c r="X79" s="5"/>
      <c r="Y79" s="221"/>
      <c r="Z79" s="5"/>
      <c r="AA79" s="5"/>
      <c r="AB79" s="5"/>
      <c r="AC79" s="5"/>
      <c r="AD79" s="221"/>
      <c r="AE79" s="5"/>
      <c r="AF79" s="5"/>
      <c r="AG79" s="5"/>
      <c r="AH79" s="5"/>
      <c r="AI79" s="5"/>
      <c r="AJ79" s="5"/>
      <c r="AK79" s="5"/>
      <c r="AL79" s="13">
        <f t="shared" si="3"/>
        <v>570</v>
      </c>
      <c r="AM79" s="864" t="s">
        <v>871</v>
      </c>
    </row>
    <row r="80" spans="1:39" x14ac:dyDescent="0.25">
      <c r="A80" t="s">
        <v>105</v>
      </c>
      <c r="B80" s="5"/>
      <c r="C80" s="5"/>
      <c r="D80" s="5"/>
      <c r="E80" s="5"/>
      <c r="F80" s="68">
        <f>'TT entry &amp; transportation'!P9</f>
        <v>0</v>
      </c>
      <c r="G80" s="5"/>
      <c r="H80" s="81"/>
      <c r="I80" s="81"/>
      <c r="J80" s="5"/>
      <c r="K80" s="5"/>
      <c r="L80" s="5"/>
      <c r="M80" s="5"/>
      <c r="N80" s="5"/>
      <c r="O80" s="5"/>
      <c r="P80" s="5"/>
      <c r="Q80" s="221"/>
      <c r="R80" s="221"/>
      <c r="S80" s="5"/>
      <c r="T80" s="221"/>
      <c r="U80" s="5"/>
      <c r="V80" s="5"/>
      <c r="W80" s="5"/>
      <c r="X80" s="5"/>
      <c r="Y80" s="221"/>
      <c r="Z80" s="68">
        <f>'TT entry &amp; transportation'!P146</f>
        <v>1153.2</v>
      </c>
      <c r="AA80" s="5"/>
      <c r="AB80" s="5"/>
      <c r="AC80" s="5"/>
      <c r="AD80" s="221"/>
      <c r="AE80" s="5"/>
      <c r="AF80" s="5"/>
      <c r="AG80" s="5"/>
      <c r="AH80" s="5"/>
      <c r="AI80" s="5"/>
      <c r="AJ80" s="5"/>
      <c r="AK80" s="5"/>
      <c r="AL80" s="13">
        <f t="shared" si="3"/>
        <v>1153.2</v>
      </c>
      <c r="AM80" t="s">
        <v>105</v>
      </c>
    </row>
    <row r="81" spans="1:39" x14ac:dyDescent="0.25">
      <c r="A81" t="s">
        <v>109</v>
      </c>
      <c r="B81" s="5"/>
      <c r="C81" s="5"/>
      <c r="D81" s="5"/>
      <c r="E81" s="5"/>
      <c r="F81" s="5"/>
      <c r="G81" s="8"/>
      <c r="H81" s="81"/>
      <c r="I81" s="82">
        <f>'TT entry &amp; transportation'!P56</f>
        <v>0</v>
      </c>
      <c r="J81" s="5"/>
      <c r="K81" s="5"/>
      <c r="L81" s="68">
        <f>'TT entry &amp; transportation'!P70</f>
        <v>0</v>
      </c>
      <c r="M81" s="5"/>
      <c r="N81" s="5"/>
      <c r="O81" s="5"/>
      <c r="P81" s="5"/>
      <c r="Q81" s="221"/>
      <c r="R81" s="221"/>
      <c r="S81" s="5"/>
      <c r="T81" s="221"/>
      <c r="U81" s="5"/>
      <c r="V81" s="5"/>
      <c r="W81" s="68">
        <f>'TT entry &amp; transportation'!P129</f>
        <v>0</v>
      </c>
      <c r="X81" s="5"/>
      <c r="Y81" s="221"/>
      <c r="Z81" s="5"/>
      <c r="AA81" s="5"/>
      <c r="AB81" s="5"/>
      <c r="AC81" s="68">
        <f>'TT entry &amp; transportation'!P156</f>
        <v>4284</v>
      </c>
      <c r="AD81" s="221"/>
      <c r="AE81" s="5"/>
      <c r="AF81" s="68">
        <f>'TT entry &amp; transportation'!P168</f>
        <v>16149.6</v>
      </c>
      <c r="AG81" s="5"/>
      <c r="AH81" s="5"/>
      <c r="AI81" s="5"/>
      <c r="AJ81" s="5"/>
      <c r="AK81" s="5"/>
      <c r="AL81" s="13">
        <f t="shared" si="3"/>
        <v>20433.599999999999</v>
      </c>
      <c r="AM81" t="s">
        <v>109</v>
      </c>
    </row>
    <row r="82" spans="1:39" x14ac:dyDescent="0.25">
      <c r="A82" t="s">
        <v>98</v>
      </c>
      <c r="B82" s="5"/>
      <c r="C82" s="68">
        <f>'TT entry &amp; transportation'!P185</f>
        <v>0</v>
      </c>
      <c r="D82" s="5"/>
      <c r="E82" s="5"/>
      <c r="F82" s="5"/>
      <c r="G82" s="5"/>
      <c r="H82" s="81"/>
      <c r="I82" s="81"/>
      <c r="J82" s="68">
        <f>'TT entry &amp; transportation'!P202</f>
        <v>0</v>
      </c>
      <c r="K82" s="5"/>
      <c r="L82" s="5"/>
      <c r="M82" s="5"/>
      <c r="N82" s="5"/>
      <c r="O82" s="5"/>
      <c r="P82" s="5"/>
      <c r="Q82" s="221"/>
      <c r="R82" s="221"/>
      <c r="S82" s="5"/>
      <c r="T82" s="221"/>
      <c r="U82" s="5"/>
      <c r="V82" s="5"/>
      <c r="W82" s="5"/>
      <c r="X82" s="5"/>
      <c r="Y82" s="221"/>
      <c r="Z82" s="5"/>
      <c r="AA82" s="5"/>
      <c r="AB82" s="5"/>
      <c r="AC82" s="5"/>
      <c r="AD82" s="221"/>
      <c r="AE82" s="5"/>
      <c r="AF82" s="5"/>
      <c r="AG82" s="5"/>
      <c r="AH82" s="5"/>
      <c r="AI82" s="5"/>
      <c r="AJ82" s="5"/>
      <c r="AK82" s="5"/>
      <c r="AL82" s="2">
        <f t="shared" si="3"/>
        <v>0</v>
      </c>
      <c r="AM82" t="s">
        <v>98</v>
      </c>
    </row>
    <row r="83" spans="1:39" x14ac:dyDescent="0.25">
      <c r="A83" t="s">
        <v>126</v>
      </c>
      <c r="B83" s="5"/>
      <c r="C83" s="5"/>
      <c r="D83" s="5"/>
      <c r="E83" s="5"/>
      <c r="F83" s="5"/>
      <c r="G83" s="5"/>
      <c r="H83" s="81"/>
      <c r="I83" s="81"/>
      <c r="J83" s="5"/>
      <c r="K83" s="5"/>
      <c r="L83" s="5"/>
      <c r="M83" s="5"/>
      <c r="N83" s="5"/>
      <c r="O83" s="5"/>
      <c r="P83" s="5"/>
      <c r="Q83" s="221"/>
      <c r="R83" s="221"/>
      <c r="S83" s="68">
        <f>'TT entry &amp; transportation'!P95</f>
        <v>10568.6</v>
      </c>
      <c r="T83" s="221"/>
      <c r="U83" s="5"/>
      <c r="V83" s="5"/>
      <c r="W83" s="5"/>
      <c r="X83" s="5"/>
      <c r="Y83" s="221"/>
      <c r="Z83" s="5"/>
      <c r="AA83" s="5"/>
      <c r="AB83" s="5"/>
      <c r="AC83" s="5"/>
      <c r="AD83" s="221"/>
      <c r="AE83" s="5"/>
      <c r="AF83" s="5"/>
      <c r="AG83" s="5"/>
      <c r="AH83" s="5"/>
      <c r="AI83" s="5"/>
      <c r="AJ83" s="5"/>
      <c r="AK83" s="5"/>
      <c r="AL83" s="2">
        <f t="shared" si="3"/>
        <v>10568.6</v>
      </c>
      <c r="AM83" t="s">
        <v>126</v>
      </c>
    </row>
    <row r="84" spans="1:39" x14ac:dyDescent="0.25">
      <c r="A84" s="3" t="s">
        <v>129</v>
      </c>
      <c r="B84" s="5"/>
      <c r="C84" s="5"/>
      <c r="D84" s="5"/>
      <c r="E84" s="5"/>
      <c r="F84" s="5"/>
      <c r="G84" s="5"/>
      <c r="H84" s="81"/>
      <c r="I84" s="81"/>
      <c r="J84" s="5"/>
      <c r="K84" s="5"/>
      <c r="L84" s="5"/>
      <c r="M84" s="5"/>
      <c r="N84" s="5"/>
      <c r="O84" s="5"/>
      <c r="P84" s="5"/>
      <c r="Q84" s="221"/>
      <c r="R84" s="221"/>
      <c r="S84" s="5"/>
      <c r="T84" s="221"/>
      <c r="U84" s="5"/>
      <c r="V84" s="68">
        <f>'TT entry &amp; transportation'!P115</f>
        <v>510</v>
      </c>
      <c r="W84" s="68">
        <f>'TT entry &amp; transportation'!P130</f>
        <v>532.5</v>
      </c>
      <c r="X84" s="5"/>
      <c r="Y84" s="221"/>
      <c r="Z84" s="5"/>
      <c r="AA84" s="5"/>
      <c r="AB84" s="5"/>
      <c r="AC84" s="68">
        <f>'TT entry &amp; transportation'!P26</f>
        <v>0</v>
      </c>
      <c r="AD84" s="221"/>
      <c r="AE84" s="5"/>
      <c r="AF84" s="5"/>
      <c r="AG84" s="5"/>
      <c r="AH84" s="5"/>
      <c r="AI84" s="5"/>
      <c r="AJ84" s="5"/>
      <c r="AK84" s="5"/>
      <c r="AL84" s="2">
        <f t="shared" si="3"/>
        <v>1042.5</v>
      </c>
      <c r="AM84" s="3" t="s">
        <v>129</v>
      </c>
    </row>
    <row r="85" spans="1:39" x14ac:dyDescent="0.25">
      <c r="A85" s="3" t="s">
        <v>122</v>
      </c>
      <c r="B85" s="5"/>
      <c r="C85" s="5"/>
      <c r="D85" s="5"/>
      <c r="E85" s="5"/>
      <c r="F85" s="5"/>
      <c r="G85" s="5"/>
      <c r="H85" s="81"/>
      <c r="I85" s="81"/>
      <c r="J85" s="5"/>
      <c r="K85" s="5"/>
      <c r="L85" s="5"/>
      <c r="M85" s="5"/>
      <c r="N85" s="5" t="s">
        <v>1</v>
      </c>
      <c r="O85" s="5"/>
      <c r="P85" s="5"/>
      <c r="Q85" s="221"/>
      <c r="R85" s="221"/>
      <c r="S85" s="5"/>
      <c r="T85" s="221"/>
      <c r="U85" s="5"/>
      <c r="V85" s="5"/>
      <c r="W85" s="5"/>
      <c r="X85" s="5"/>
      <c r="Y85" s="221"/>
      <c r="Z85" s="5"/>
      <c r="AA85" s="5"/>
      <c r="AB85" s="5"/>
      <c r="AC85" s="5"/>
      <c r="AD85" s="221"/>
      <c r="AE85" s="5"/>
      <c r="AF85" s="5"/>
      <c r="AG85" s="5"/>
      <c r="AH85" s="5"/>
      <c r="AI85" s="5"/>
      <c r="AJ85" s="5"/>
      <c r="AK85" s="5"/>
      <c r="AL85" s="2">
        <f t="shared" si="3"/>
        <v>0</v>
      </c>
      <c r="AM85" s="3" t="s">
        <v>122</v>
      </c>
    </row>
    <row r="86" spans="1:39" x14ac:dyDescent="0.25">
      <c r="A86" s="3" t="s">
        <v>112</v>
      </c>
      <c r="B86" s="5"/>
      <c r="C86" s="5"/>
      <c r="D86" s="5"/>
      <c r="E86" s="5"/>
      <c r="F86" s="5"/>
      <c r="G86" s="5"/>
      <c r="H86" s="81"/>
      <c r="I86" s="82">
        <f>'TT entry &amp; transportation'!P57</f>
        <v>0</v>
      </c>
      <c r="J86" s="5"/>
      <c r="K86" s="5"/>
      <c r="L86" s="5"/>
      <c r="M86" s="5"/>
      <c r="N86" s="5"/>
      <c r="O86" s="5"/>
      <c r="P86" s="5"/>
      <c r="Q86" s="221"/>
      <c r="R86" s="221"/>
      <c r="S86" s="5"/>
      <c r="T86" s="221"/>
      <c r="U86" s="68">
        <f>'TT entry &amp; transportation'!P108</f>
        <v>231</v>
      </c>
      <c r="V86" s="5"/>
      <c r="W86" s="68">
        <f>'TT entry &amp; transportation'!P131</f>
        <v>0</v>
      </c>
      <c r="X86" s="5"/>
      <c r="Y86" s="221"/>
      <c r="Z86" s="5"/>
      <c r="AA86" s="5"/>
      <c r="AB86" s="5"/>
      <c r="AC86" s="68">
        <f>'TT entry &amp; transportation'!P157</f>
        <v>719.2</v>
      </c>
      <c r="AD86" s="221"/>
      <c r="AE86" s="5"/>
      <c r="AF86" s="68">
        <f>'TT entry &amp; transportation'!P169</f>
        <v>17089.2</v>
      </c>
      <c r="AG86" s="5"/>
      <c r="AH86" s="5"/>
      <c r="AI86" s="5"/>
      <c r="AJ86" s="5"/>
      <c r="AK86" s="5"/>
      <c r="AL86" s="2">
        <f t="shared" si="3"/>
        <v>18039.400000000001</v>
      </c>
      <c r="AM86" s="3" t="s">
        <v>112</v>
      </c>
    </row>
    <row r="87" spans="1:39" x14ac:dyDescent="0.25">
      <c r="A87" t="s">
        <v>84</v>
      </c>
      <c r="B87" s="5"/>
      <c r="C87" s="5"/>
      <c r="D87" s="5"/>
      <c r="E87" s="5"/>
      <c r="F87" s="68">
        <f>'TT entry &amp; transportation'!P10</f>
        <v>0</v>
      </c>
      <c r="G87" s="5"/>
      <c r="H87" s="82">
        <f>'TT entry &amp; transportation'!P38</f>
        <v>0</v>
      </c>
      <c r="I87" s="82">
        <f>'TT entry &amp; transportation'!P58</f>
        <v>12234.6</v>
      </c>
      <c r="J87" s="5"/>
      <c r="K87" s="5"/>
      <c r="L87" s="5"/>
      <c r="M87" s="5"/>
      <c r="N87" s="5"/>
      <c r="O87" s="5"/>
      <c r="P87" s="5"/>
      <c r="Q87" s="221"/>
      <c r="R87" s="221"/>
      <c r="S87" s="5"/>
      <c r="T87" s="221"/>
      <c r="U87" s="27"/>
      <c r="V87" s="5"/>
      <c r="W87" s="5"/>
      <c r="X87" s="5"/>
      <c r="Y87" s="221"/>
      <c r="Z87" s="5"/>
      <c r="AA87" s="5"/>
      <c r="AB87" s="5"/>
      <c r="AC87" s="5"/>
      <c r="AD87" s="221"/>
      <c r="AE87" s="5"/>
      <c r="AF87" s="5"/>
      <c r="AG87" s="5"/>
      <c r="AH87" s="5"/>
      <c r="AI87" s="5"/>
      <c r="AJ87" s="5"/>
      <c r="AK87" s="5"/>
      <c r="AL87" s="2">
        <f t="shared" si="3"/>
        <v>12234.6</v>
      </c>
      <c r="AM87" t="s">
        <v>84</v>
      </c>
    </row>
    <row r="88" spans="1:39" x14ac:dyDescent="0.25">
      <c r="A88" t="s">
        <v>85</v>
      </c>
      <c r="B88" s="5"/>
      <c r="C88" s="5"/>
      <c r="D88" s="5"/>
      <c r="E88" s="5"/>
      <c r="F88" s="5"/>
      <c r="G88" s="5"/>
      <c r="H88" s="81"/>
      <c r="I88" s="81"/>
      <c r="J88" s="5"/>
      <c r="K88" s="5"/>
      <c r="L88" s="5"/>
      <c r="M88" s="5"/>
      <c r="N88" s="5"/>
      <c r="O88" s="5"/>
      <c r="P88" s="68">
        <f>'TT entry &amp; transportation'!P89</f>
        <v>15889</v>
      </c>
      <c r="Q88" s="68">
        <f>'TT entry &amp; transportation'!P235</f>
        <v>0</v>
      </c>
      <c r="R88" s="68"/>
      <c r="S88" s="5"/>
      <c r="T88" s="221"/>
      <c r="U88" s="5"/>
      <c r="V88" s="5"/>
      <c r="W88" s="5"/>
      <c r="X88" s="5"/>
      <c r="Y88" s="221"/>
      <c r="Z88" s="5"/>
      <c r="AA88" s="5"/>
      <c r="AB88" s="5"/>
      <c r="AC88" s="5"/>
      <c r="AD88" s="221"/>
      <c r="AE88" s="5"/>
      <c r="AF88" s="5"/>
      <c r="AG88" s="5"/>
      <c r="AH88" s="5"/>
      <c r="AI88" s="5"/>
      <c r="AJ88" s="5"/>
      <c r="AK88" s="5"/>
      <c r="AL88" s="2">
        <f>SUM(B88:AK88)-Q88</f>
        <v>15889</v>
      </c>
      <c r="AM88" t="s">
        <v>85</v>
      </c>
    </row>
    <row r="89" spans="1:39" x14ac:dyDescent="0.25">
      <c r="A89" t="s">
        <v>86</v>
      </c>
      <c r="B89" s="5"/>
      <c r="C89" s="5"/>
      <c r="D89" s="5"/>
      <c r="E89" s="5"/>
      <c r="F89" s="5"/>
      <c r="G89" s="5"/>
      <c r="H89" s="81"/>
      <c r="I89" s="81"/>
      <c r="J89" s="5"/>
      <c r="K89" s="5"/>
      <c r="L89" s="5"/>
      <c r="M89" s="5"/>
      <c r="N89" s="5"/>
      <c r="O89" s="5"/>
      <c r="P89" s="5"/>
      <c r="Q89" s="221"/>
      <c r="R89" s="221"/>
      <c r="S89" s="5"/>
      <c r="T89" s="221"/>
      <c r="U89" s="5"/>
      <c r="V89" s="5"/>
      <c r="W89" s="5"/>
      <c r="X89" s="5"/>
      <c r="Y89" s="221"/>
      <c r="Z89" s="5"/>
      <c r="AA89" s="5"/>
      <c r="AB89" s="5"/>
      <c r="AC89" s="5"/>
      <c r="AD89" s="221"/>
      <c r="AE89" s="5"/>
      <c r="AF89" s="5"/>
      <c r="AG89" s="5"/>
      <c r="AH89" s="5"/>
      <c r="AI89" s="5"/>
      <c r="AJ89" s="5"/>
      <c r="AK89" s="5"/>
      <c r="AL89" s="2">
        <f>SUM(B89:AK89)</f>
        <v>0</v>
      </c>
      <c r="AM89" t="s">
        <v>86</v>
      </c>
    </row>
    <row r="90" spans="1:39" x14ac:dyDescent="0.25">
      <c r="B90" s="1"/>
      <c r="C90" s="1"/>
      <c r="D90" s="1"/>
      <c r="E90" s="1"/>
      <c r="F90" s="1"/>
      <c r="G90" s="1"/>
      <c r="H90" s="85"/>
      <c r="I90" s="8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562">
        <f>SUM(AL2:AL89)</f>
        <v>584690.15</v>
      </c>
      <c r="AM90" s="251" t="s">
        <v>846</v>
      </c>
    </row>
    <row r="91" spans="1:39" ht="13.8" thickBot="1" x14ac:dyDescent="0.3">
      <c r="B91" s="11">
        <f>SUM(B2:B89)</f>
        <v>4445</v>
      </c>
      <c r="C91" s="11">
        <f>SUM(C2:C89)</f>
        <v>15608.6</v>
      </c>
      <c r="D91" s="11">
        <f t="shared" ref="D91:AK91" si="4">SUM(D2:D89)</f>
        <v>0</v>
      </c>
      <c r="E91" s="11">
        <f t="shared" si="4"/>
        <v>1639.8</v>
      </c>
      <c r="F91" s="11">
        <f t="shared" si="4"/>
        <v>1195</v>
      </c>
      <c r="G91" s="11">
        <f t="shared" si="4"/>
        <v>132833</v>
      </c>
      <c r="H91" s="86">
        <f>SUM(H2:H89)</f>
        <v>16464.8</v>
      </c>
      <c r="I91" s="86">
        <f t="shared" si="4"/>
        <v>57763.4</v>
      </c>
      <c r="J91" s="11">
        <f t="shared" si="4"/>
        <v>31334.400000000001</v>
      </c>
      <c r="K91" s="11">
        <f t="shared" si="4"/>
        <v>0</v>
      </c>
      <c r="L91" s="11">
        <f t="shared" si="4"/>
        <v>31424.2</v>
      </c>
      <c r="M91" s="11">
        <f t="shared" si="4"/>
        <v>0</v>
      </c>
      <c r="N91" s="11">
        <f t="shared" si="4"/>
        <v>4256</v>
      </c>
      <c r="O91" s="11">
        <f t="shared" si="4"/>
        <v>3916.8</v>
      </c>
      <c r="P91" s="11">
        <f>SUM(P2:P89)</f>
        <v>54568.1</v>
      </c>
      <c r="Q91" s="561">
        <f>SUM(Q2:Q89)</f>
        <v>0</v>
      </c>
      <c r="R91" s="561">
        <f>SUM(R2:R89)</f>
        <v>0</v>
      </c>
      <c r="S91" s="11">
        <f t="shared" si="4"/>
        <v>33019.4</v>
      </c>
      <c r="T91" s="561">
        <f t="shared" si="4"/>
        <v>0</v>
      </c>
      <c r="U91" s="11">
        <f t="shared" si="4"/>
        <v>68469.2</v>
      </c>
      <c r="V91" s="11">
        <f t="shared" si="4"/>
        <v>6409.2</v>
      </c>
      <c r="W91" s="11">
        <f t="shared" si="4"/>
        <v>1839.5</v>
      </c>
      <c r="X91" s="11">
        <f t="shared" si="4"/>
        <v>6433.35</v>
      </c>
      <c r="Y91" s="561">
        <f>SUM(Y2:Y89)</f>
        <v>0</v>
      </c>
      <c r="Z91" s="11">
        <f>SUM(Z2:Z89)</f>
        <v>9269.1</v>
      </c>
      <c r="AA91" s="11">
        <f t="shared" si="4"/>
        <v>537</v>
      </c>
      <c r="AB91" s="11">
        <f t="shared" si="4"/>
        <v>2607.5</v>
      </c>
      <c r="AC91" s="11">
        <f t="shared" si="4"/>
        <v>13864.1</v>
      </c>
      <c r="AD91" s="11">
        <f t="shared" si="4"/>
        <v>0</v>
      </c>
      <c r="AE91" s="11">
        <f t="shared" si="4"/>
        <v>2150.6</v>
      </c>
      <c r="AF91" s="11">
        <f t="shared" si="4"/>
        <v>35363.800000000003</v>
      </c>
      <c r="AG91" s="11">
        <f t="shared" si="4"/>
        <v>1783.4</v>
      </c>
      <c r="AH91" s="11">
        <f t="shared" si="4"/>
        <v>9900</v>
      </c>
      <c r="AI91" s="11">
        <f t="shared" si="4"/>
        <v>7798.8</v>
      </c>
      <c r="AJ91" s="11">
        <f t="shared" si="4"/>
        <v>3477.3</v>
      </c>
      <c r="AK91" s="11">
        <f t="shared" si="4"/>
        <v>26318.799999999999</v>
      </c>
      <c r="AL91" s="563">
        <f>SUM(B91:AK91)</f>
        <v>584690.15</v>
      </c>
      <c r="AM91" s="251" t="s">
        <v>845</v>
      </c>
    </row>
    <row r="92" spans="1:39" x14ac:dyDescent="0.25">
      <c r="AK92" t="s">
        <v>625</v>
      </c>
      <c r="AL92" s="4">
        <f>AL91-AL90</f>
        <v>0</v>
      </c>
    </row>
    <row r="93" spans="1:39" s="487" customFormat="1" x14ac:dyDescent="0.25">
      <c r="H93" s="934" t="s">
        <v>853</v>
      </c>
      <c r="I93" s="256"/>
      <c r="AL93" s="3"/>
    </row>
    <row r="94" spans="1:39" x14ac:dyDescent="0.25">
      <c r="B94" t="s">
        <v>172</v>
      </c>
      <c r="AK94" t="s">
        <v>624</v>
      </c>
      <c r="AL94" s="371">
        <f>Q91+R91+T91+Y91</f>
        <v>0</v>
      </c>
    </row>
    <row r="95" spans="1:39" x14ac:dyDescent="0.25">
      <c r="B95" t="s">
        <v>169</v>
      </c>
      <c r="AK95" s="488" t="s">
        <v>1</v>
      </c>
      <c r="AL95" s="7">
        <f>AL92-AL94</f>
        <v>0</v>
      </c>
    </row>
    <row r="96" spans="1:39" x14ac:dyDescent="0.25">
      <c r="B96" t="s">
        <v>170</v>
      </c>
      <c r="AL96" s="7" t="s">
        <v>1</v>
      </c>
    </row>
    <row r="97" spans="2:38" x14ac:dyDescent="0.25">
      <c r="B97" t="s">
        <v>171</v>
      </c>
      <c r="AL97" s="4"/>
    </row>
  </sheetData>
  <phoneticPr fontId="14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D101"/>
  <sheetViews>
    <sheetView topLeftCell="D1" zoomScaleNormal="100" workbookViewId="0">
      <selection activeCell="I11" sqref="I11"/>
    </sheetView>
  </sheetViews>
  <sheetFormatPr defaultRowHeight="18" customHeight="1" x14ac:dyDescent="0.25"/>
  <cols>
    <col min="1" max="1" width="3" style="229" customWidth="1"/>
    <col min="2" max="2" width="5.109375" style="16" customWidth="1"/>
    <col min="3" max="3" width="9.5546875" style="16" customWidth="1"/>
    <col min="4" max="4" width="9.109375" customWidth="1"/>
    <col min="5" max="5" width="11.33203125" style="16" customWidth="1"/>
    <col min="6" max="6" width="25.109375" customWidth="1"/>
    <col min="7" max="7" width="10.109375" style="19" hidden="1" customWidth="1"/>
    <col min="8" max="8" width="26.44140625" style="16" hidden="1" customWidth="1"/>
    <col min="9" max="9" width="14.88671875" style="25" customWidth="1"/>
    <col min="10" max="10" width="11.6640625" style="25" customWidth="1"/>
    <col min="11" max="11" width="14" style="21" customWidth="1"/>
    <col min="12" max="12" width="11.44140625" style="21" customWidth="1"/>
    <col min="13" max="13" width="14.88671875" style="21" customWidth="1"/>
    <col min="14" max="14" width="14.88671875" style="22" bestFit="1" customWidth="1"/>
    <col min="15" max="15" width="12.6640625" style="16" customWidth="1"/>
  </cols>
  <sheetData>
    <row r="1" spans="1:15" s="34" customFormat="1" ht="26.4" x14ac:dyDescent="0.25">
      <c r="A1" s="232"/>
      <c r="B1" s="36" t="s">
        <v>182</v>
      </c>
      <c r="C1" s="36" t="s">
        <v>183</v>
      </c>
      <c r="D1" s="36" t="s">
        <v>184</v>
      </c>
      <c r="E1" s="186" t="s">
        <v>468</v>
      </c>
      <c r="F1" s="36" t="s">
        <v>185</v>
      </c>
      <c r="G1" s="36" t="s">
        <v>186</v>
      </c>
      <c r="H1" s="36" t="s">
        <v>187</v>
      </c>
      <c r="I1" s="30" t="s">
        <v>167</v>
      </c>
      <c r="J1" s="30" t="s">
        <v>324</v>
      </c>
      <c r="K1" s="30" t="s">
        <v>236</v>
      </c>
      <c r="L1" s="187" t="s">
        <v>469</v>
      </c>
      <c r="M1" s="187" t="s">
        <v>470</v>
      </c>
      <c r="N1" s="37" t="s">
        <v>188</v>
      </c>
      <c r="O1" s="36"/>
    </row>
    <row r="2" spans="1:15" ht="12.75" customHeight="1" x14ac:dyDescent="0.25">
      <c r="A2" s="229">
        <v>1</v>
      </c>
      <c r="D2">
        <v>159829</v>
      </c>
      <c r="E2" s="16" t="s">
        <v>175</v>
      </c>
      <c r="F2" s="211" t="s">
        <v>163</v>
      </c>
      <c r="G2" s="212">
        <f ca="1">NOW()</f>
        <v>44700.5166664352</v>
      </c>
      <c r="H2" s="213" t="s">
        <v>228</v>
      </c>
      <c r="I2" s="214">
        <f>'TT entry &amp; transportation'!L178</f>
        <v>13042.3</v>
      </c>
      <c r="J2" s="39"/>
      <c r="K2" s="35">
        <f>'CTE TRANS'!AL2</f>
        <v>1449.76</v>
      </c>
      <c r="L2" s="35">
        <v>0</v>
      </c>
      <c r="M2" s="35">
        <v>0</v>
      </c>
      <c r="N2" s="22">
        <f>SUM(I2:M2)</f>
        <v>14492.06</v>
      </c>
    </row>
    <row r="3" spans="1:15" ht="12.75" customHeight="1" x14ac:dyDescent="0.25">
      <c r="A3" s="229">
        <v>2</v>
      </c>
      <c r="D3">
        <v>177358</v>
      </c>
      <c r="E3" s="16" t="s">
        <v>176</v>
      </c>
      <c r="F3" t="s">
        <v>152</v>
      </c>
      <c r="G3" s="31">
        <f t="shared" ref="G3:G78" ca="1" si="0">NOW()</f>
        <v>44700.5166664352</v>
      </c>
      <c r="H3" s="16" t="s">
        <v>222</v>
      </c>
      <c r="I3" s="38">
        <v>0</v>
      </c>
      <c r="J3" s="38"/>
      <c r="K3" s="40">
        <f>'CTE TRANS'!AL3</f>
        <v>16308.2</v>
      </c>
      <c r="L3" s="40">
        <v>0</v>
      </c>
      <c r="M3" s="35">
        <v>0</v>
      </c>
      <c r="N3" s="22">
        <f>SUM(I3:M3)</f>
        <v>16308.2</v>
      </c>
    </row>
    <row r="4" spans="1:15" ht="12.75" customHeight="1" x14ac:dyDescent="0.25">
      <c r="A4" s="229">
        <v>3</v>
      </c>
      <c r="D4">
        <v>156530</v>
      </c>
      <c r="E4" s="16" t="s">
        <v>175</v>
      </c>
      <c r="F4" s="211" t="s">
        <v>168</v>
      </c>
      <c r="G4" s="212">
        <f t="shared" ca="1" si="0"/>
        <v>44700.5166664352</v>
      </c>
      <c r="H4" s="213" t="s">
        <v>240</v>
      </c>
      <c r="I4" s="214">
        <f>'TT entry &amp; transportation'!L179</f>
        <v>3726.37</v>
      </c>
      <c r="J4" s="38"/>
      <c r="K4" s="40">
        <f>'CTE TRANS'!AL4</f>
        <v>416.16</v>
      </c>
      <c r="L4" s="40">
        <v>0</v>
      </c>
      <c r="M4" s="35">
        <v>0</v>
      </c>
      <c r="N4" s="22">
        <f>SUM(I4:M4)</f>
        <v>4142.53</v>
      </c>
    </row>
    <row r="5" spans="1:15" ht="12.75" customHeight="1" x14ac:dyDescent="0.25">
      <c r="A5" s="229">
        <v>4</v>
      </c>
      <c r="D5">
        <v>177267</v>
      </c>
      <c r="E5" s="16" t="s">
        <v>176</v>
      </c>
      <c r="F5" t="s">
        <v>2</v>
      </c>
      <c r="G5" s="31">
        <f t="shared" ca="1" si="0"/>
        <v>44700.5166664352</v>
      </c>
      <c r="H5" s="19" t="s">
        <v>223</v>
      </c>
      <c r="I5" s="38">
        <f>'TT entry &amp; transportation'!M4</f>
        <v>86327.53</v>
      </c>
      <c r="J5" s="38"/>
      <c r="K5" s="40">
        <v>0</v>
      </c>
      <c r="L5" s="40">
        <v>0</v>
      </c>
      <c r="M5" s="35">
        <v>0</v>
      </c>
      <c r="N5" s="22">
        <f>SUM(I5:M5)</f>
        <v>86327.53</v>
      </c>
    </row>
    <row r="6" spans="1:15" ht="12.75" customHeight="1" x14ac:dyDescent="0.25">
      <c r="A6" s="229">
        <v>5</v>
      </c>
      <c r="D6">
        <v>177363</v>
      </c>
      <c r="E6" s="16" t="s">
        <v>176</v>
      </c>
      <c r="F6" t="s">
        <v>51</v>
      </c>
      <c r="G6" s="31">
        <f t="shared" ca="1" si="0"/>
        <v>44700.5166664352</v>
      </c>
      <c r="H6" s="16" t="s">
        <v>222</v>
      </c>
      <c r="I6" s="38">
        <v>0</v>
      </c>
      <c r="J6" s="38"/>
      <c r="K6" s="40">
        <f>'CTE TRANS'!AL5</f>
        <v>22484.400000000001</v>
      </c>
      <c r="L6" s="40">
        <v>0</v>
      </c>
      <c r="M6" s="35">
        <v>0</v>
      </c>
      <c r="N6" s="22">
        <f t="shared" ref="N6:N72" si="1">SUM(I6:M6)</f>
        <v>22484.400000000001</v>
      </c>
    </row>
    <row r="7" spans="1:15" ht="12.75" customHeight="1" x14ac:dyDescent="0.25">
      <c r="A7" s="229">
        <v>6</v>
      </c>
      <c r="D7">
        <v>177374</v>
      </c>
      <c r="E7" s="16" t="s">
        <v>177</v>
      </c>
      <c r="F7" t="s">
        <v>6</v>
      </c>
      <c r="G7" s="31">
        <f t="shared" ca="1" si="0"/>
        <v>44700.5166664352</v>
      </c>
      <c r="H7" s="19" t="s">
        <v>224</v>
      </c>
      <c r="I7" s="38">
        <f>'TT entry &amp; transportation'!M11</f>
        <v>11179.11</v>
      </c>
      <c r="J7" s="41"/>
      <c r="K7" s="40">
        <f>'CTE TRANS'!AL8</f>
        <v>7343</v>
      </c>
      <c r="L7" s="40">
        <v>0</v>
      </c>
      <c r="M7" s="35">
        <v>0</v>
      </c>
      <c r="N7" s="22">
        <f t="shared" si="1"/>
        <v>18522.11</v>
      </c>
    </row>
    <row r="8" spans="1:15" ht="12.75" customHeight="1" x14ac:dyDescent="0.25">
      <c r="A8" s="229">
        <v>7</v>
      </c>
      <c r="C8" s="173" t="s">
        <v>1</v>
      </c>
      <c r="D8" s="182">
        <v>159993</v>
      </c>
      <c r="E8" s="185" t="s">
        <v>175</v>
      </c>
      <c r="F8" s="215" t="s">
        <v>207</v>
      </c>
      <c r="G8" s="212">
        <f t="shared" ca="1" si="0"/>
        <v>44700.5166664352</v>
      </c>
      <c r="H8" s="213" t="s">
        <v>228</v>
      </c>
      <c r="I8" s="214">
        <f>'TT entry &amp; transportation'!L190</f>
        <v>26084.6</v>
      </c>
      <c r="J8" s="38"/>
      <c r="K8" s="40">
        <f>'CTE TRANS'!AL6</f>
        <v>1179.9000000000001</v>
      </c>
      <c r="L8" s="40">
        <v>0</v>
      </c>
      <c r="M8" s="35">
        <v>0</v>
      </c>
      <c r="N8" s="22">
        <f t="shared" si="1"/>
        <v>27264.5</v>
      </c>
    </row>
    <row r="9" spans="1:15" s="247" customFormat="1" ht="12.75" customHeight="1" x14ac:dyDescent="0.25">
      <c r="A9" s="229"/>
      <c r="B9" s="16"/>
      <c r="C9" s="173"/>
      <c r="D9" s="182">
        <v>159845</v>
      </c>
      <c r="E9" s="185" t="s">
        <v>175</v>
      </c>
      <c r="F9" s="215" t="s">
        <v>601</v>
      </c>
      <c r="G9" s="212">
        <f t="shared" ca="1" si="0"/>
        <v>44700.516666319403</v>
      </c>
      <c r="H9" s="213" t="s">
        <v>228</v>
      </c>
      <c r="I9" s="214">
        <f>'TT entry &amp; transportation'!L191</f>
        <v>3726.37</v>
      </c>
      <c r="J9" s="38"/>
      <c r="K9" s="40">
        <f>'CTE TRANS'!AL7</f>
        <v>304.2</v>
      </c>
      <c r="L9" s="40">
        <v>0</v>
      </c>
      <c r="M9" s="35">
        <v>0</v>
      </c>
      <c r="N9" s="22">
        <f t="shared" si="1"/>
        <v>4030.57</v>
      </c>
      <c r="O9" s="16"/>
    </row>
    <row r="10" spans="1:15" ht="12.75" customHeight="1" x14ac:dyDescent="0.25">
      <c r="A10" s="229">
        <v>8</v>
      </c>
      <c r="D10">
        <v>177514</v>
      </c>
      <c r="E10" s="16" t="s">
        <v>176</v>
      </c>
      <c r="F10" t="s">
        <v>160</v>
      </c>
      <c r="G10" s="31">
        <f t="shared" ca="1" si="0"/>
        <v>44700.5166664352</v>
      </c>
      <c r="H10" s="19" t="s">
        <v>224</v>
      </c>
      <c r="I10" s="38">
        <f>'TT entry &amp; transportation'!M27</f>
        <v>59000.94</v>
      </c>
      <c r="J10" s="38"/>
      <c r="K10" s="40">
        <f>'CTE TRANS'!AL10</f>
        <v>4590</v>
      </c>
      <c r="L10" s="40">
        <v>0</v>
      </c>
      <c r="M10" s="35">
        <v>0</v>
      </c>
      <c r="N10" s="22">
        <f t="shared" si="1"/>
        <v>63590.94</v>
      </c>
    </row>
    <row r="11" spans="1:15" ht="12.75" customHeight="1" x14ac:dyDescent="0.25">
      <c r="A11" s="229">
        <v>9</v>
      </c>
      <c r="D11">
        <v>177490</v>
      </c>
      <c r="E11" s="16" t="s">
        <v>178</v>
      </c>
      <c r="F11" s="3" t="s">
        <v>10</v>
      </c>
      <c r="G11" s="31">
        <f t="shared" ca="1" si="0"/>
        <v>44700.5166664352</v>
      </c>
      <c r="H11" s="19" t="s">
        <v>224</v>
      </c>
      <c r="I11" s="38">
        <f>'TT entry &amp; transportation'!M21</f>
        <v>1393663.1</v>
      </c>
      <c r="J11" s="38">
        <f>Differential!F6</f>
        <v>128942.62</v>
      </c>
      <c r="K11" s="40">
        <f>'CTE TRANS'!AL9</f>
        <v>0</v>
      </c>
      <c r="L11" s="40">
        <v>0</v>
      </c>
      <c r="M11" s="35">
        <v>0</v>
      </c>
      <c r="N11" s="22">
        <f>SUM(I11:M11)</f>
        <v>1522605.72</v>
      </c>
    </row>
    <row r="12" spans="1:15" ht="12.75" customHeight="1" x14ac:dyDescent="0.25">
      <c r="A12" s="229">
        <v>10</v>
      </c>
      <c r="C12" s="26"/>
      <c r="D12" s="3">
        <v>177380</v>
      </c>
      <c r="E12" s="18" t="s">
        <v>179</v>
      </c>
      <c r="F12" s="3" t="s">
        <v>16</v>
      </c>
      <c r="G12" s="42">
        <f t="shared" ca="1" si="0"/>
        <v>44700.5166664352</v>
      </c>
      <c r="H12" s="26" t="s">
        <v>224</v>
      </c>
      <c r="I12" s="38">
        <f>'TT entry &amp; transportation'!M39</f>
        <v>478838.66</v>
      </c>
      <c r="J12" s="38"/>
      <c r="K12" s="40">
        <f>'CTE TRANS'!AL11</f>
        <v>4373.2</v>
      </c>
      <c r="L12" s="40">
        <v>0</v>
      </c>
      <c r="M12" s="40">
        <v>0</v>
      </c>
      <c r="N12" s="23">
        <f t="shared" si="1"/>
        <v>483211.86</v>
      </c>
    </row>
    <row r="13" spans="1:15" ht="12.75" customHeight="1" x14ac:dyDescent="0.25">
      <c r="A13" s="229">
        <v>11</v>
      </c>
      <c r="D13">
        <v>154400</v>
      </c>
      <c r="E13" s="19" t="s">
        <v>175</v>
      </c>
      <c r="F13" s="215" t="s">
        <v>25</v>
      </c>
      <c r="G13" s="212">
        <f t="shared" ca="1" si="0"/>
        <v>44700.5166664352</v>
      </c>
      <c r="H13" s="216" t="s">
        <v>222</v>
      </c>
      <c r="I13" s="214">
        <f>'TT entry &amp; transportation'!L196</f>
        <v>33537.339999999997</v>
      </c>
      <c r="J13" s="41"/>
      <c r="K13" s="773">
        <f>'CTE TRANS'!AL12</f>
        <v>1788</v>
      </c>
      <c r="L13" s="40">
        <v>0</v>
      </c>
      <c r="M13" s="35">
        <v>0</v>
      </c>
      <c r="N13" s="22">
        <f t="shared" si="1"/>
        <v>35325.339999999997</v>
      </c>
      <c r="O13" s="767" t="s">
        <v>1</v>
      </c>
    </row>
    <row r="14" spans="1:15" ht="12.75" customHeight="1" x14ac:dyDescent="0.25">
      <c r="A14" s="229">
        <v>12</v>
      </c>
      <c r="D14">
        <v>177384</v>
      </c>
      <c r="E14" s="16" t="s">
        <v>178</v>
      </c>
      <c r="F14" t="s">
        <v>22</v>
      </c>
      <c r="G14" s="31">
        <f t="shared" ca="1" si="0"/>
        <v>44700.5166664352</v>
      </c>
      <c r="H14" s="16" t="s">
        <v>222</v>
      </c>
      <c r="I14" s="38">
        <v>0</v>
      </c>
      <c r="J14" s="38"/>
      <c r="K14" s="40">
        <f>'CTE TRANS'!AL13</f>
        <v>8969.6</v>
      </c>
      <c r="L14" s="40">
        <v>0</v>
      </c>
      <c r="M14" s="35">
        <v>0</v>
      </c>
      <c r="N14" s="22">
        <f t="shared" si="1"/>
        <v>8969.6</v>
      </c>
    </row>
    <row r="15" spans="1:15" ht="12.75" customHeight="1" x14ac:dyDescent="0.25">
      <c r="A15" s="229">
        <v>13</v>
      </c>
      <c r="D15">
        <v>158141</v>
      </c>
      <c r="E15" s="16" t="s">
        <v>175</v>
      </c>
      <c r="F15" t="s">
        <v>190</v>
      </c>
      <c r="G15" s="31">
        <f t="shared" ca="1" si="0"/>
        <v>44700.5166664352</v>
      </c>
      <c r="H15" s="16" t="s">
        <v>189</v>
      </c>
      <c r="I15" s="38">
        <f>'TT entry &amp; transportation'!M59</f>
        <v>1106732.3500000001</v>
      </c>
      <c r="J15" s="41"/>
      <c r="K15" s="40">
        <f>'CTE TRANS'!AL14</f>
        <v>1322</v>
      </c>
      <c r="L15" s="40">
        <v>0</v>
      </c>
      <c r="M15" s="35">
        <v>0</v>
      </c>
      <c r="N15" s="22">
        <f t="shared" si="1"/>
        <v>1108054.3500000001</v>
      </c>
    </row>
    <row r="16" spans="1:15" ht="12.75" customHeight="1" x14ac:dyDescent="0.25">
      <c r="A16" s="229">
        <v>14</v>
      </c>
      <c r="D16">
        <v>154456</v>
      </c>
      <c r="E16" s="16" t="s">
        <v>175</v>
      </c>
      <c r="F16" s="211" t="s">
        <v>7</v>
      </c>
      <c r="G16" s="212">
        <f t="shared" ca="1" si="0"/>
        <v>44700.5166664352</v>
      </c>
      <c r="H16" s="216" t="s">
        <v>189</v>
      </c>
      <c r="I16" s="214">
        <f>'TT entry &amp; transportation'!L206+'TT entry &amp; transportation'!M83</f>
        <v>97506.64</v>
      </c>
      <c r="J16" s="41"/>
      <c r="K16" s="40">
        <f>'CTE TRANS'!AL15</f>
        <v>13068</v>
      </c>
      <c r="L16" s="40">
        <v>0</v>
      </c>
      <c r="M16" s="35">
        <v>0</v>
      </c>
      <c r="N16" s="22">
        <f t="shared" si="1"/>
        <v>110574.64</v>
      </c>
    </row>
    <row r="17" spans="1:15" ht="12.75" customHeight="1" x14ac:dyDescent="0.25">
      <c r="A17" s="229">
        <v>15</v>
      </c>
      <c r="D17">
        <v>160001</v>
      </c>
      <c r="E17" s="16" t="s">
        <v>175</v>
      </c>
      <c r="F17" t="s">
        <v>17</v>
      </c>
      <c r="G17" s="31">
        <f t="shared" ca="1" si="0"/>
        <v>44700.5166664352</v>
      </c>
      <c r="H17" s="16" t="s">
        <v>222</v>
      </c>
      <c r="I17" s="38">
        <v>0</v>
      </c>
      <c r="J17" s="38"/>
      <c r="K17" s="40">
        <f>'CTE TRANS'!AL16</f>
        <v>8678.7999999999993</v>
      </c>
      <c r="L17" s="40">
        <v>0</v>
      </c>
      <c r="M17" s="35">
        <v>0</v>
      </c>
      <c r="N17" s="22">
        <f t="shared" si="1"/>
        <v>8678.7999999999993</v>
      </c>
    </row>
    <row r="18" spans="1:15" ht="12.75" customHeight="1" x14ac:dyDescent="0.25">
      <c r="A18" s="229">
        <v>16</v>
      </c>
      <c r="D18">
        <v>159863</v>
      </c>
      <c r="E18" s="16" t="s">
        <v>175</v>
      </c>
      <c r="F18" t="s">
        <v>36</v>
      </c>
      <c r="G18" s="31">
        <f t="shared" ca="1" si="0"/>
        <v>44700.5166664352</v>
      </c>
      <c r="H18" s="16" t="s">
        <v>222</v>
      </c>
      <c r="I18" s="38">
        <v>0</v>
      </c>
      <c r="J18" s="38"/>
      <c r="K18" s="40">
        <f>'CTE TRANS'!AL17</f>
        <v>5181.8</v>
      </c>
      <c r="L18" s="40">
        <v>0</v>
      </c>
      <c r="M18" s="35">
        <f>'TT entry &amp; transportation'!P232</f>
        <v>0</v>
      </c>
      <c r="N18" s="22">
        <f>SUM(I18:M18)</f>
        <v>5181.8</v>
      </c>
      <c r="O18"/>
    </row>
    <row r="19" spans="1:15" ht="12.75" customHeight="1" x14ac:dyDescent="0.25">
      <c r="A19" s="229">
        <v>17</v>
      </c>
      <c r="D19">
        <v>177392</v>
      </c>
      <c r="E19" s="16" t="s">
        <v>176</v>
      </c>
      <c r="F19" t="s">
        <v>37</v>
      </c>
      <c r="G19" s="31">
        <f t="shared" ca="1" si="0"/>
        <v>44700.5166664352</v>
      </c>
      <c r="H19" s="16" t="s">
        <v>222</v>
      </c>
      <c r="I19" s="38">
        <v>0</v>
      </c>
      <c r="J19" s="38"/>
      <c r="K19" s="40">
        <f>'CTE TRANS'!AL18</f>
        <v>9280.7999999999993</v>
      </c>
      <c r="L19" s="40">
        <v>0</v>
      </c>
      <c r="M19" s="35">
        <f>'TT entry &amp; transportation'!P233</f>
        <v>0</v>
      </c>
      <c r="N19" s="22">
        <f t="shared" si="1"/>
        <v>9280.7999999999993</v>
      </c>
      <c r="O19"/>
    </row>
    <row r="20" spans="1:15" ht="12.75" customHeight="1" x14ac:dyDescent="0.25">
      <c r="A20" s="229">
        <v>18</v>
      </c>
      <c r="D20">
        <v>159869</v>
      </c>
      <c r="E20" s="16" t="s">
        <v>175</v>
      </c>
      <c r="F20" t="s">
        <v>46</v>
      </c>
      <c r="G20" s="31">
        <f t="shared" ca="1" si="0"/>
        <v>44700.5166664352</v>
      </c>
      <c r="H20" s="16" t="s">
        <v>222</v>
      </c>
      <c r="I20" s="38">
        <v>0</v>
      </c>
      <c r="J20" s="38"/>
      <c r="K20" s="40">
        <f>'CTE TRANS'!AL19</f>
        <v>30682</v>
      </c>
      <c r="L20" s="40">
        <v>0</v>
      </c>
      <c r="M20" s="35">
        <v>0</v>
      </c>
      <c r="N20" s="22">
        <f t="shared" si="1"/>
        <v>30682</v>
      </c>
      <c r="O20"/>
    </row>
    <row r="21" spans="1:15" ht="12.75" customHeight="1" x14ac:dyDescent="0.25">
      <c r="A21" s="229">
        <v>19</v>
      </c>
      <c r="D21">
        <v>171049</v>
      </c>
      <c r="E21" s="16" t="s">
        <v>175</v>
      </c>
      <c r="F21" t="s">
        <v>3</v>
      </c>
      <c r="G21" s="31">
        <f t="shared" ca="1" si="0"/>
        <v>44700.5166664352</v>
      </c>
      <c r="H21" s="16" t="s">
        <v>225</v>
      </c>
      <c r="I21" s="38">
        <v>0</v>
      </c>
      <c r="J21" s="38"/>
      <c r="K21" s="40">
        <f>'CTE TRANS'!AL20</f>
        <v>4445</v>
      </c>
      <c r="L21" s="40">
        <v>0</v>
      </c>
      <c r="M21" s="35">
        <v>0</v>
      </c>
      <c r="N21" s="43">
        <f t="shared" si="1"/>
        <v>4445</v>
      </c>
      <c r="O21"/>
    </row>
    <row r="22" spans="1:15" ht="12.75" customHeight="1" x14ac:dyDescent="0.25">
      <c r="A22" s="229">
        <v>20</v>
      </c>
      <c r="D22">
        <v>154558</v>
      </c>
      <c r="E22" s="16" t="s">
        <v>175</v>
      </c>
      <c r="F22" s="211" t="s">
        <v>5</v>
      </c>
      <c r="G22" s="212">
        <f t="shared" ca="1" si="0"/>
        <v>44700.5166664352</v>
      </c>
      <c r="H22" s="213" t="s">
        <v>226</v>
      </c>
      <c r="I22" s="214">
        <f>'TT entry &amp; transportation'!L180+'TT entry &amp; transportation'!L207</f>
        <v>113654.31</v>
      </c>
      <c r="J22" s="38"/>
      <c r="K22" s="40">
        <f>'CTE TRANS'!AL22</f>
        <v>12563.68</v>
      </c>
      <c r="L22" s="40">
        <v>0</v>
      </c>
      <c r="M22" s="35">
        <v>0</v>
      </c>
      <c r="N22" s="43">
        <f t="shared" si="1"/>
        <v>126217.99</v>
      </c>
      <c r="O22"/>
    </row>
    <row r="23" spans="1:15" ht="12.75" customHeight="1" x14ac:dyDescent="0.25">
      <c r="A23" s="229">
        <v>21</v>
      </c>
      <c r="D23">
        <v>159997</v>
      </c>
      <c r="E23" s="16" t="s">
        <v>175</v>
      </c>
      <c r="F23" t="s">
        <v>11</v>
      </c>
      <c r="G23" s="31">
        <f t="shared" ca="1" si="0"/>
        <v>44700.5166664352</v>
      </c>
      <c r="H23" s="16" t="s">
        <v>222</v>
      </c>
      <c r="I23" s="39">
        <v>0</v>
      </c>
      <c r="J23" s="39"/>
      <c r="K23" s="35">
        <f>'CTE TRANS'!AL23</f>
        <v>11120.5</v>
      </c>
      <c r="L23" s="35">
        <v>0</v>
      </c>
      <c r="M23" s="35">
        <v>0</v>
      </c>
      <c r="N23" s="22">
        <f t="shared" si="1"/>
        <v>11120.5</v>
      </c>
      <c r="O23"/>
    </row>
    <row r="24" spans="1:15" ht="12.75" customHeight="1" x14ac:dyDescent="0.25">
      <c r="A24" s="229">
        <v>22</v>
      </c>
      <c r="D24">
        <v>177408</v>
      </c>
      <c r="E24" s="16" t="s">
        <v>175</v>
      </c>
      <c r="F24" s="211" t="s">
        <v>34</v>
      </c>
      <c r="G24" s="212">
        <f t="shared" ca="1" si="0"/>
        <v>44700.5166664352</v>
      </c>
      <c r="H24" s="213" t="s">
        <v>227</v>
      </c>
      <c r="I24" s="214">
        <f>'TT entry &amp; transportation'!L187</f>
        <v>11179.11</v>
      </c>
      <c r="J24" s="38"/>
      <c r="K24" s="40">
        <f>'CTE TRANS'!AL24</f>
        <v>0</v>
      </c>
      <c r="L24" s="40">
        <v>0</v>
      </c>
      <c r="M24" s="35">
        <v>0</v>
      </c>
      <c r="N24" s="22">
        <f t="shared" si="1"/>
        <v>11179.11</v>
      </c>
      <c r="O24"/>
    </row>
    <row r="25" spans="1:15" ht="12.75" customHeight="1" x14ac:dyDescent="0.25">
      <c r="A25" s="229">
        <v>23</v>
      </c>
      <c r="D25">
        <v>156890</v>
      </c>
      <c r="E25" s="16" t="s">
        <v>175</v>
      </c>
      <c r="F25" t="s">
        <v>237</v>
      </c>
      <c r="G25" s="31">
        <f t="shared" ca="1" si="0"/>
        <v>44700.5166664352</v>
      </c>
      <c r="H25" s="16" t="s">
        <v>222</v>
      </c>
      <c r="I25" s="38">
        <v>0</v>
      </c>
      <c r="J25" s="38"/>
      <c r="K25" s="40">
        <f>'CTE TRANS'!AL25</f>
        <v>5981.7</v>
      </c>
      <c r="L25" s="40">
        <v>0</v>
      </c>
      <c r="M25" s="35">
        <v>0</v>
      </c>
      <c r="N25" s="22">
        <f>SUM(I25:M25)</f>
        <v>5981.7</v>
      </c>
      <c r="O25"/>
    </row>
    <row r="26" spans="1:15" s="864" customFormat="1" ht="12.75" customHeight="1" x14ac:dyDescent="0.25">
      <c r="A26" s="771"/>
      <c r="B26" s="489"/>
      <c r="C26" s="489"/>
      <c r="D26" s="784">
        <v>177411</v>
      </c>
      <c r="E26" s="769" t="s">
        <v>176</v>
      </c>
      <c r="F26" s="784" t="s">
        <v>866</v>
      </c>
      <c r="G26" s="31">
        <f t="shared" ca="1" si="0"/>
        <v>44700.516666319403</v>
      </c>
      <c r="H26" s="489" t="s">
        <v>222</v>
      </c>
      <c r="I26" s="38">
        <v>0</v>
      </c>
      <c r="J26" s="38"/>
      <c r="K26" s="40">
        <f>'CTE TRANS'!AL26</f>
        <v>68</v>
      </c>
      <c r="L26" s="40">
        <v>0</v>
      </c>
      <c r="M26" s="35">
        <v>0</v>
      </c>
      <c r="N26" s="22">
        <f>SUM(I26:M26)</f>
        <v>68</v>
      </c>
    </row>
    <row r="27" spans="1:15" ht="12.75" customHeight="1" x14ac:dyDescent="0.25">
      <c r="A27" s="229">
        <v>24</v>
      </c>
      <c r="D27">
        <v>177413</v>
      </c>
      <c r="E27" s="16" t="s">
        <v>176</v>
      </c>
      <c r="F27" t="s">
        <v>12</v>
      </c>
      <c r="G27" s="31">
        <f t="shared" ca="1" si="0"/>
        <v>44700.5166664352</v>
      </c>
      <c r="H27" s="16" t="s">
        <v>222</v>
      </c>
      <c r="I27" s="38">
        <v>0</v>
      </c>
      <c r="J27" s="38"/>
      <c r="K27" s="40">
        <f>'CTE TRANS'!AL27</f>
        <v>10742</v>
      </c>
      <c r="L27" s="40">
        <v>0</v>
      </c>
      <c r="M27" s="35">
        <v>0</v>
      </c>
      <c r="N27" s="22">
        <f t="shared" si="1"/>
        <v>10742</v>
      </c>
      <c r="O27"/>
    </row>
    <row r="28" spans="1:15" ht="12.75" customHeight="1" x14ac:dyDescent="0.25">
      <c r="A28" s="229">
        <v>25</v>
      </c>
      <c r="D28">
        <v>159887</v>
      </c>
      <c r="E28" s="16" t="s">
        <v>175</v>
      </c>
      <c r="F28" s="182" t="s">
        <v>28</v>
      </c>
      <c r="G28" s="31">
        <f t="shared" ca="1" si="0"/>
        <v>44700.5166664352</v>
      </c>
      <c r="H28" s="19" t="s">
        <v>228</v>
      </c>
      <c r="I28" s="38">
        <f>'TT entry &amp; transportation'!M71</f>
        <v>334752.38</v>
      </c>
      <c r="J28" s="41"/>
      <c r="K28" s="40">
        <f>'CTE TRANS'!AL28</f>
        <v>451.5</v>
      </c>
      <c r="L28" s="40">
        <v>0</v>
      </c>
      <c r="M28" s="35">
        <f>'TT entry &amp; transportation'!P243</f>
        <v>0</v>
      </c>
      <c r="N28" s="22">
        <f t="shared" si="1"/>
        <v>335203.88</v>
      </c>
      <c r="O28"/>
    </row>
    <row r="29" spans="1:15" ht="12.75" customHeight="1" x14ac:dyDescent="0.25">
      <c r="A29" s="229">
        <v>26</v>
      </c>
      <c r="D29">
        <v>159998</v>
      </c>
      <c r="E29" s="16" t="s">
        <v>175</v>
      </c>
      <c r="F29" s="182" t="s">
        <v>38</v>
      </c>
      <c r="G29" s="31">
        <f t="shared" ca="1" si="0"/>
        <v>44700.5166664352</v>
      </c>
      <c r="H29" s="16" t="s">
        <v>222</v>
      </c>
      <c r="I29" s="38">
        <v>0</v>
      </c>
      <c r="J29" s="38"/>
      <c r="K29" s="40">
        <f>'CTE TRANS'!AL29</f>
        <v>9875.4</v>
      </c>
      <c r="L29" s="40">
        <v>0</v>
      </c>
      <c r="M29" s="35">
        <f>'TT entry &amp; transportation'!P234</f>
        <v>0</v>
      </c>
      <c r="N29" s="22">
        <f t="shared" si="1"/>
        <v>9875.4</v>
      </c>
      <c r="O29"/>
    </row>
    <row r="30" spans="1:15" ht="12.75" customHeight="1" x14ac:dyDescent="0.25">
      <c r="A30" s="229">
        <v>27</v>
      </c>
      <c r="D30">
        <v>177218</v>
      </c>
      <c r="E30" s="16" t="s">
        <v>176</v>
      </c>
      <c r="F30" s="182" t="s">
        <v>191</v>
      </c>
      <c r="G30" s="31">
        <f t="shared" ca="1" si="0"/>
        <v>44700.5166664352</v>
      </c>
      <c r="H30" s="19" t="s">
        <v>224</v>
      </c>
      <c r="I30" s="38">
        <f>'TT entry &amp; transportation'!M74</f>
        <v>0</v>
      </c>
      <c r="J30" s="38"/>
      <c r="K30" s="40">
        <f>'CTE TRANS'!AL30</f>
        <v>2439.1999999999998</v>
      </c>
      <c r="L30" s="40">
        <v>0</v>
      </c>
      <c r="M30" s="35">
        <v>0</v>
      </c>
      <c r="N30" s="22">
        <f>SUM(I30:M30)</f>
        <v>2439.1999999999998</v>
      </c>
      <c r="O30"/>
    </row>
    <row r="31" spans="1:15" ht="12.75" customHeight="1" x14ac:dyDescent="0.25">
      <c r="A31" s="229">
        <v>28</v>
      </c>
      <c r="D31">
        <v>154471</v>
      </c>
      <c r="E31" s="16" t="s">
        <v>175</v>
      </c>
      <c r="F31" t="s">
        <v>192</v>
      </c>
      <c r="G31" s="31">
        <f t="shared" ca="1" si="0"/>
        <v>44700.5166664352</v>
      </c>
      <c r="H31" s="19" t="s">
        <v>229</v>
      </c>
      <c r="I31" s="38">
        <f>'TT entry &amp; transportation'!L197</f>
        <v>0</v>
      </c>
      <c r="J31" s="38"/>
      <c r="K31" s="40">
        <f>'CTE TRANS'!AL32</f>
        <v>18873.2</v>
      </c>
      <c r="L31" s="40">
        <v>0</v>
      </c>
      <c r="M31" s="35">
        <v>0</v>
      </c>
      <c r="N31" s="22">
        <f t="shared" si="1"/>
        <v>18873.2</v>
      </c>
      <c r="O31"/>
    </row>
    <row r="32" spans="1:15" ht="12.75" customHeight="1" x14ac:dyDescent="0.25">
      <c r="A32" s="229">
        <v>29</v>
      </c>
      <c r="D32">
        <v>159968</v>
      </c>
      <c r="E32" s="769" t="s">
        <v>178</v>
      </c>
      <c r="F32" s="211" t="s">
        <v>138</v>
      </c>
      <c r="G32" s="212">
        <f t="shared" ca="1" si="0"/>
        <v>44700.5166664352</v>
      </c>
      <c r="H32" s="213" t="s">
        <v>230</v>
      </c>
      <c r="I32" s="214">
        <f>'TT entry &amp; transportation'!L188+'TT entry &amp; transportation'!M79</f>
        <v>162097.32</v>
      </c>
      <c r="J32" s="38"/>
      <c r="K32" s="40">
        <f>'CTE TRANS'!AL33</f>
        <v>3196.8</v>
      </c>
      <c r="L32" s="40">
        <v>0</v>
      </c>
      <c r="M32" s="35">
        <v>0</v>
      </c>
      <c r="N32" s="22">
        <f t="shared" si="1"/>
        <v>165294.12</v>
      </c>
      <c r="O32"/>
    </row>
    <row r="33" spans="1:30" ht="12.75" customHeight="1" x14ac:dyDescent="0.25">
      <c r="A33" s="229">
        <v>30</v>
      </c>
      <c r="D33">
        <v>177420</v>
      </c>
      <c r="E33" s="16" t="s">
        <v>175</v>
      </c>
      <c r="F33" t="s">
        <v>153</v>
      </c>
      <c r="G33" s="31">
        <f t="shared" ca="1" si="0"/>
        <v>44700.5166664352</v>
      </c>
      <c r="H33" s="32" t="s">
        <v>231</v>
      </c>
      <c r="I33" s="38">
        <f>'TT entry &amp; transportation'!M90</f>
        <v>892466.21</v>
      </c>
      <c r="J33" s="41"/>
      <c r="K33" s="40">
        <f>'CTE TRANS'!AL34</f>
        <v>0</v>
      </c>
      <c r="L33" s="40">
        <f>'TT entry &amp; transportation'!M236</f>
        <v>0</v>
      </c>
      <c r="M33" s="35">
        <v>0</v>
      </c>
      <c r="N33" s="22">
        <f t="shared" si="1"/>
        <v>892466.21</v>
      </c>
      <c r="O33"/>
    </row>
    <row r="34" spans="1:30" ht="12.75" customHeight="1" x14ac:dyDescent="0.25">
      <c r="A34" s="229">
        <v>31</v>
      </c>
      <c r="D34">
        <v>159892</v>
      </c>
      <c r="E34" s="16" t="s">
        <v>175</v>
      </c>
      <c r="F34" s="211" t="s">
        <v>26</v>
      </c>
      <c r="G34" s="212">
        <f t="shared" ca="1" si="0"/>
        <v>44700.5166664352</v>
      </c>
      <c r="H34" s="216" t="s">
        <v>222</v>
      </c>
      <c r="I34" s="214">
        <f>'TT entry &amp; transportation'!L198</f>
        <v>191908.1</v>
      </c>
      <c r="J34" s="41"/>
      <c r="K34" s="40">
        <f>'CTE TRANS'!AL35</f>
        <v>9559.2000000000007</v>
      </c>
      <c r="L34" s="40">
        <v>0</v>
      </c>
      <c r="M34" s="35">
        <v>0</v>
      </c>
      <c r="N34" s="22">
        <f t="shared" si="1"/>
        <v>201467.3</v>
      </c>
      <c r="O34"/>
    </row>
    <row r="35" spans="1:30" ht="12.75" customHeight="1" x14ac:dyDescent="0.25">
      <c r="A35" s="229">
        <v>32</v>
      </c>
      <c r="D35">
        <v>154378</v>
      </c>
      <c r="E35" s="16" t="s">
        <v>175</v>
      </c>
      <c r="F35" t="s">
        <v>193</v>
      </c>
      <c r="G35" s="31">
        <f t="shared" ca="1" si="0"/>
        <v>44700.5166664352</v>
      </c>
      <c r="H35" s="16" t="s">
        <v>222</v>
      </c>
      <c r="I35" s="38">
        <v>0</v>
      </c>
      <c r="J35" s="38"/>
      <c r="K35" s="40">
        <f>'CTE TRANS'!AL36</f>
        <v>0</v>
      </c>
      <c r="L35" s="40">
        <v>0</v>
      </c>
      <c r="M35" s="35">
        <v>0</v>
      </c>
      <c r="N35" s="22">
        <f t="shared" si="1"/>
        <v>0</v>
      </c>
      <c r="O35"/>
    </row>
    <row r="36" spans="1:30" ht="12.75" customHeight="1" x14ac:dyDescent="0.25">
      <c r="A36" s="229">
        <v>33</v>
      </c>
      <c r="D36">
        <v>177216</v>
      </c>
      <c r="E36" s="16" t="s">
        <v>176</v>
      </c>
      <c r="F36" t="s">
        <v>42</v>
      </c>
      <c r="G36" s="31">
        <f t="shared" ca="1" si="0"/>
        <v>44700.5166664352</v>
      </c>
      <c r="H36" s="16" t="s">
        <v>222</v>
      </c>
      <c r="I36" s="38">
        <v>0</v>
      </c>
      <c r="J36" s="38"/>
      <c r="K36" s="40">
        <f>'CTE TRANS'!AL37</f>
        <v>12936</v>
      </c>
      <c r="L36" s="40">
        <v>0</v>
      </c>
      <c r="M36" s="35">
        <v>0</v>
      </c>
      <c r="N36" s="22">
        <f t="shared" si="1"/>
        <v>12936</v>
      </c>
      <c r="O36"/>
    </row>
    <row r="37" spans="1:30" ht="12.75" customHeight="1" x14ac:dyDescent="0.25">
      <c r="A37" s="229">
        <v>34</v>
      </c>
      <c r="D37">
        <v>177426</v>
      </c>
      <c r="E37" s="16" t="s">
        <v>176</v>
      </c>
      <c r="F37" t="s">
        <v>59</v>
      </c>
      <c r="G37" s="31">
        <f t="shared" ca="1" si="0"/>
        <v>44700.5166664352</v>
      </c>
      <c r="H37" s="32" t="s">
        <v>232</v>
      </c>
      <c r="I37" s="38">
        <v>0</v>
      </c>
      <c r="J37" s="38"/>
      <c r="K37" s="40">
        <f>'CTE TRANS'!AL38</f>
        <v>4706.8999999999996</v>
      </c>
      <c r="L37" s="40">
        <f>'TT entry &amp; transportation'!M247</f>
        <v>0</v>
      </c>
      <c r="M37" s="35">
        <f>'CTE TRANS'!R38+'CTE TRANS'!T38+'CTE TRANS'!Y38+'CTE TRANS'!AJ38</f>
        <v>0</v>
      </c>
      <c r="N37" s="22">
        <f t="shared" si="1"/>
        <v>4706.8999999999996</v>
      </c>
      <c r="O37"/>
    </row>
    <row r="38" spans="1:30" ht="12.75" customHeight="1" x14ac:dyDescent="0.25">
      <c r="A38" s="229">
        <v>35</v>
      </c>
      <c r="D38">
        <v>177428</v>
      </c>
      <c r="E38" s="16" t="s">
        <v>176</v>
      </c>
      <c r="F38" t="s">
        <v>40</v>
      </c>
      <c r="G38" s="31">
        <f t="shared" ca="1" si="0"/>
        <v>44700.5166664352</v>
      </c>
      <c r="H38" s="19" t="s">
        <v>228</v>
      </c>
      <c r="I38" s="38">
        <f>'TT entry &amp; transportation'!M96</f>
        <v>284446.38</v>
      </c>
      <c r="J38" s="38">
        <f>Differential!F17</f>
        <v>31284.46</v>
      </c>
      <c r="K38" s="40">
        <f>'CTE TRANS'!AL39</f>
        <v>3740.8</v>
      </c>
      <c r="L38" s="40">
        <v>0</v>
      </c>
      <c r="M38" s="35">
        <v>0</v>
      </c>
      <c r="N38" s="22">
        <f t="shared" si="1"/>
        <v>319471.64</v>
      </c>
      <c r="O38"/>
      <c r="AD38" s="21">
        <f>'Payment T&amp;T LAWSON'!K37</f>
        <v>4706.8999999999996</v>
      </c>
    </row>
    <row r="39" spans="1:30" ht="12.75" customHeight="1" x14ac:dyDescent="0.25">
      <c r="A39" s="229">
        <v>36</v>
      </c>
      <c r="D39">
        <v>177429</v>
      </c>
      <c r="E39" s="16" t="s">
        <v>176</v>
      </c>
      <c r="F39" t="s">
        <v>29</v>
      </c>
      <c r="G39" s="31">
        <f t="shared" ca="1" si="0"/>
        <v>44700.5166664352</v>
      </c>
      <c r="H39" s="16" t="s">
        <v>222</v>
      </c>
      <c r="I39" s="38">
        <v>0</v>
      </c>
      <c r="J39" s="38"/>
      <c r="K39" s="40">
        <f>'CTE TRANS'!AL40</f>
        <v>21552.6</v>
      </c>
      <c r="L39" s="40">
        <f>'TT entry &amp; transportation'!M245</f>
        <v>6937.5</v>
      </c>
      <c r="M39" s="35">
        <v>0</v>
      </c>
      <c r="N39" s="22">
        <f t="shared" si="1"/>
        <v>28490.1</v>
      </c>
      <c r="O39"/>
    </row>
    <row r="40" spans="1:30" ht="12.75" customHeight="1" x14ac:dyDescent="0.25">
      <c r="A40" s="229">
        <v>37</v>
      </c>
      <c r="D40">
        <v>159895</v>
      </c>
      <c r="E40" s="16" t="s">
        <v>175</v>
      </c>
      <c r="F40" s="211" t="s">
        <v>52</v>
      </c>
      <c r="G40" s="212">
        <f t="shared" ca="1" si="0"/>
        <v>44700.5166664352</v>
      </c>
      <c r="H40" s="217" t="s">
        <v>233</v>
      </c>
      <c r="I40" s="214">
        <f>'TT entry &amp; transportation'!L181+'TT entry &amp; transportation'!L199</f>
        <v>14905.48</v>
      </c>
      <c r="J40" s="38"/>
      <c r="K40" s="40">
        <f>'CTE TRANS'!AL41</f>
        <v>0</v>
      </c>
      <c r="L40" s="40">
        <v>0</v>
      </c>
      <c r="M40" s="35">
        <v>0</v>
      </c>
      <c r="N40" s="22">
        <f t="shared" si="1"/>
        <v>14905.48</v>
      </c>
      <c r="O40"/>
    </row>
    <row r="41" spans="1:30" ht="12.75" customHeight="1" x14ac:dyDescent="0.25">
      <c r="A41" s="229">
        <v>38</v>
      </c>
      <c r="D41">
        <v>177323</v>
      </c>
      <c r="E41" s="16" t="s">
        <v>178</v>
      </c>
      <c r="F41" s="182" t="s">
        <v>45</v>
      </c>
      <c r="G41" s="31">
        <f t="shared" ca="1" si="0"/>
        <v>44700.5166664352</v>
      </c>
      <c r="H41" s="19" t="s">
        <v>223</v>
      </c>
      <c r="I41" s="38">
        <f>'TT entry &amp; transportation'!M109</f>
        <v>855821.26</v>
      </c>
      <c r="J41" s="41"/>
      <c r="K41" s="40">
        <f>'CTE TRANS'!AL42</f>
        <v>0</v>
      </c>
      <c r="L41" s="40">
        <v>0</v>
      </c>
      <c r="M41" s="35">
        <v>0</v>
      </c>
      <c r="N41" s="22">
        <f t="shared" si="1"/>
        <v>855821.26</v>
      </c>
      <c r="O41"/>
    </row>
    <row r="42" spans="1:30" ht="12.75" customHeight="1" x14ac:dyDescent="0.25">
      <c r="A42" s="229">
        <v>39</v>
      </c>
      <c r="D42">
        <v>154513</v>
      </c>
      <c r="E42" s="16" t="s">
        <v>175</v>
      </c>
      <c r="F42" s="182" t="s">
        <v>161</v>
      </c>
      <c r="G42" s="31">
        <f t="shared" ca="1" si="0"/>
        <v>44700.5166664352</v>
      </c>
      <c r="H42" s="19" t="s">
        <v>228</v>
      </c>
      <c r="I42" s="38">
        <f>'TT entry &amp; transportation'!M116</f>
        <v>36021.71</v>
      </c>
      <c r="J42" s="41"/>
      <c r="K42" s="40">
        <f>'CTE TRANS'!AL43</f>
        <v>1477.5</v>
      </c>
      <c r="L42" s="40">
        <v>0</v>
      </c>
      <c r="M42" s="35">
        <v>0</v>
      </c>
      <c r="N42" s="22">
        <f t="shared" si="1"/>
        <v>37499.21</v>
      </c>
      <c r="O42"/>
    </row>
    <row r="43" spans="1:30" ht="12.75" customHeight="1" x14ac:dyDescent="0.25">
      <c r="A43" s="229">
        <v>40</v>
      </c>
      <c r="D43">
        <v>154367</v>
      </c>
      <c r="E43" s="16" t="s">
        <v>175</v>
      </c>
      <c r="F43" t="s">
        <v>27</v>
      </c>
      <c r="G43" s="31">
        <f t="shared" ca="1" si="0"/>
        <v>44700.5166664352</v>
      </c>
      <c r="H43" s="16" t="s">
        <v>222</v>
      </c>
      <c r="I43" s="38">
        <f>'TT entry &amp; transportation'!L195</f>
        <v>154644.39000000001</v>
      </c>
      <c r="J43" s="41"/>
      <c r="K43" s="40">
        <f>'CTE TRANS'!AL44</f>
        <v>19248</v>
      </c>
      <c r="L43" s="40">
        <v>0</v>
      </c>
      <c r="M43" s="35">
        <v>0</v>
      </c>
      <c r="N43" s="22">
        <f t="shared" si="1"/>
        <v>173892.39</v>
      </c>
      <c r="O43"/>
    </row>
    <row r="44" spans="1:30" ht="12.75" customHeight="1" x14ac:dyDescent="0.25">
      <c r="A44" s="229">
        <v>41</v>
      </c>
      <c r="D44">
        <v>159904</v>
      </c>
      <c r="E44" s="16" t="s">
        <v>175</v>
      </c>
      <c r="F44" t="s">
        <v>30</v>
      </c>
      <c r="G44" s="31">
        <f t="shared" ca="1" si="0"/>
        <v>44700.5166664352</v>
      </c>
      <c r="H44" s="16" t="s">
        <v>222</v>
      </c>
      <c r="I44" s="38">
        <v>0</v>
      </c>
      <c r="J44" s="38"/>
      <c r="K44" s="40">
        <f>'CTE TRANS'!AL45</f>
        <v>5960.75</v>
      </c>
      <c r="L44" s="40">
        <v>0</v>
      </c>
      <c r="M44" s="35">
        <v>0</v>
      </c>
      <c r="N44" s="22">
        <f t="shared" si="1"/>
        <v>5960.75</v>
      </c>
      <c r="O44"/>
    </row>
    <row r="45" spans="1:30" ht="12.75" customHeight="1" x14ac:dyDescent="0.25">
      <c r="A45" s="229">
        <v>42</v>
      </c>
      <c r="D45">
        <v>177202</v>
      </c>
      <c r="E45" s="16" t="s">
        <v>175</v>
      </c>
      <c r="F45" t="s">
        <v>194</v>
      </c>
      <c r="G45" s="31">
        <f t="shared" ca="1" si="0"/>
        <v>44700.5166664352</v>
      </c>
      <c r="H45" s="16" t="s">
        <v>222</v>
      </c>
      <c r="I45" s="38">
        <v>0</v>
      </c>
      <c r="J45" s="38"/>
      <c r="K45" s="40">
        <f>'CTE TRANS'!AL46</f>
        <v>30823.5</v>
      </c>
      <c r="L45" s="40">
        <v>0</v>
      </c>
      <c r="M45" s="35">
        <v>0</v>
      </c>
      <c r="N45" s="22">
        <f t="shared" si="1"/>
        <v>30823.5</v>
      </c>
      <c r="O45"/>
    </row>
    <row r="46" spans="1:30" ht="12.75" customHeight="1" x14ac:dyDescent="0.25">
      <c r="A46" s="229">
        <v>43</v>
      </c>
      <c r="D46">
        <v>159906</v>
      </c>
      <c r="E46" s="16" t="s">
        <v>175</v>
      </c>
      <c r="F46" t="s">
        <v>31</v>
      </c>
      <c r="G46" s="31">
        <f t="shared" ca="1" si="0"/>
        <v>44700.5166664352</v>
      </c>
      <c r="H46" s="16" t="s">
        <v>189</v>
      </c>
      <c r="I46" s="38">
        <f>'TT entry &amp; transportation'!M132</f>
        <v>50927.01</v>
      </c>
      <c r="J46" s="41"/>
      <c r="K46" s="40">
        <f>'CTE TRANS'!AL47</f>
        <v>8125.5</v>
      </c>
      <c r="L46" s="40">
        <v>0</v>
      </c>
      <c r="M46" s="35">
        <v>0</v>
      </c>
      <c r="N46" s="22">
        <f t="shared" si="1"/>
        <v>59052.51</v>
      </c>
      <c r="O46"/>
    </row>
    <row r="47" spans="1:30" ht="12.75" customHeight="1" x14ac:dyDescent="0.25">
      <c r="A47" s="229">
        <v>44</v>
      </c>
      <c r="D47">
        <v>159907</v>
      </c>
      <c r="E47" s="16" t="s">
        <v>175</v>
      </c>
      <c r="F47" t="s">
        <v>19</v>
      </c>
      <c r="G47" s="31">
        <f t="shared" ca="1" si="0"/>
        <v>44700.5166664352</v>
      </c>
      <c r="H47" s="16" t="s">
        <v>222</v>
      </c>
      <c r="I47" s="38">
        <v>0</v>
      </c>
      <c r="J47" s="38"/>
      <c r="K47" s="40">
        <f>'CTE TRANS'!AL48</f>
        <v>8437.1</v>
      </c>
      <c r="L47" s="40">
        <v>0</v>
      </c>
      <c r="M47" s="35">
        <v>0</v>
      </c>
      <c r="N47" s="22">
        <f t="shared" si="1"/>
        <v>8437.1</v>
      </c>
      <c r="O47"/>
    </row>
    <row r="48" spans="1:30" ht="12.75" customHeight="1" x14ac:dyDescent="0.25">
      <c r="A48" s="229">
        <v>45</v>
      </c>
      <c r="D48">
        <v>154343</v>
      </c>
      <c r="E48" s="16" t="s">
        <v>175</v>
      </c>
      <c r="F48" t="s">
        <v>195</v>
      </c>
      <c r="G48" s="31">
        <f t="shared" ca="1" si="0"/>
        <v>44700.5166664352</v>
      </c>
      <c r="H48" s="16" t="s">
        <v>189</v>
      </c>
      <c r="I48" s="38">
        <v>0</v>
      </c>
      <c r="J48" s="38"/>
      <c r="K48" s="40">
        <f>'CTE TRANS'!AL49</f>
        <v>1808</v>
      </c>
      <c r="L48" s="40">
        <v>0</v>
      </c>
      <c r="M48" s="35">
        <v>0</v>
      </c>
      <c r="N48" s="22">
        <f t="shared" si="1"/>
        <v>1808</v>
      </c>
      <c r="O48"/>
    </row>
    <row r="49" spans="1:15" ht="12.75" customHeight="1" x14ac:dyDescent="0.25">
      <c r="A49" s="229">
        <v>46</v>
      </c>
      <c r="D49">
        <v>155318</v>
      </c>
      <c r="E49" s="16" t="s">
        <v>175</v>
      </c>
      <c r="F49" t="s">
        <v>49</v>
      </c>
      <c r="G49" s="31">
        <f t="shared" ca="1" si="0"/>
        <v>44700.5166664352</v>
      </c>
      <c r="H49" s="16" t="s">
        <v>222</v>
      </c>
      <c r="I49" s="38">
        <v>0</v>
      </c>
      <c r="J49" s="38"/>
      <c r="K49" s="40">
        <f>'CTE TRANS'!AL50</f>
        <v>2998.8</v>
      </c>
      <c r="L49" s="40">
        <v>0</v>
      </c>
      <c r="M49" s="35">
        <v>0</v>
      </c>
      <c r="N49" s="22">
        <f t="shared" si="1"/>
        <v>2998.8</v>
      </c>
      <c r="O49"/>
    </row>
    <row r="50" spans="1:15" ht="12.75" customHeight="1" x14ac:dyDescent="0.25">
      <c r="A50" s="229">
        <v>47</v>
      </c>
      <c r="D50">
        <v>177679</v>
      </c>
      <c r="E50" s="16" t="s">
        <v>178</v>
      </c>
      <c r="F50" t="s">
        <v>32</v>
      </c>
      <c r="G50" s="31">
        <f t="shared" ca="1" si="0"/>
        <v>44700.5166664352</v>
      </c>
      <c r="H50" s="16" t="s">
        <v>189</v>
      </c>
      <c r="I50" s="38">
        <f>'TT entry &amp; transportation'!M140</f>
        <v>190044.73</v>
      </c>
      <c r="J50" s="41"/>
      <c r="K50" s="40">
        <f>'CTE TRANS'!AL51</f>
        <v>2907.5</v>
      </c>
      <c r="L50" s="40">
        <f>'TT entry &amp; transportation'!M251</f>
        <v>0</v>
      </c>
      <c r="M50" s="35">
        <v>0</v>
      </c>
      <c r="N50" s="22">
        <f t="shared" si="1"/>
        <v>192952.23</v>
      </c>
      <c r="O50"/>
    </row>
    <row r="51" spans="1:15" ht="12.75" customHeight="1" x14ac:dyDescent="0.25">
      <c r="A51" s="229">
        <v>48</v>
      </c>
      <c r="D51">
        <v>177194</v>
      </c>
      <c r="E51" s="16" t="s">
        <v>176</v>
      </c>
      <c r="F51" s="20" t="s">
        <v>48</v>
      </c>
      <c r="G51" s="31">
        <f t="shared" ca="1" si="0"/>
        <v>44700.5166664352</v>
      </c>
      <c r="H51" s="16" t="s">
        <v>222</v>
      </c>
      <c r="I51" s="39">
        <v>0</v>
      </c>
      <c r="J51" s="39"/>
      <c r="K51" s="35">
        <f>'CTE TRANS'!AL53</f>
        <v>6088.2</v>
      </c>
      <c r="L51" s="35">
        <v>0</v>
      </c>
      <c r="M51" s="35">
        <v>0</v>
      </c>
      <c r="N51" s="22">
        <f t="shared" si="1"/>
        <v>6088.2</v>
      </c>
      <c r="O51"/>
    </row>
    <row r="52" spans="1:15" ht="12.75" customHeight="1" x14ac:dyDescent="0.25">
      <c r="A52" s="229">
        <v>49</v>
      </c>
      <c r="D52">
        <v>159923</v>
      </c>
      <c r="E52" s="16" t="s">
        <v>175</v>
      </c>
      <c r="F52" t="s">
        <v>20</v>
      </c>
      <c r="G52" s="31">
        <f t="shared" ca="1" si="0"/>
        <v>44700.5166664352</v>
      </c>
      <c r="H52" s="16" t="s">
        <v>222</v>
      </c>
      <c r="I52" s="39">
        <v>0</v>
      </c>
      <c r="J52" s="39"/>
      <c r="K52" s="35">
        <f>'CTE TRANS'!AL54</f>
        <v>9203.2000000000007</v>
      </c>
      <c r="L52" s="35">
        <v>0</v>
      </c>
      <c r="M52" s="35">
        <v>0</v>
      </c>
      <c r="N52" s="22">
        <f t="shared" si="1"/>
        <v>9203.2000000000007</v>
      </c>
      <c r="O52"/>
    </row>
    <row r="53" spans="1:15" ht="12.75" customHeight="1" x14ac:dyDescent="0.25">
      <c r="A53" s="229">
        <v>50</v>
      </c>
      <c r="D53">
        <v>159924</v>
      </c>
      <c r="E53" s="16" t="s">
        <v>175</v>
      </c>
      <c r="F53" t="s">
        <v>8</v>
      </c>
      <c r="G53" s="31">
        <f t="shared" ca="1" si="0"/>
        <v>44700.5166664352</v>
      </c>
      <c r="H53" s="16" t="s">
        <v>189</v>
      </c>
      <c r="I53" s="39">
        <f>'TT entry &amp; transportation'!M147</f>
        <v>68937.86</v>
      </c>
      <c r="J53" s="44"/>
      <c r="K53" s="35">
        <f>'CTE TRANS'!AL55</f>
        <v>1195</v>
      </c>
      <c r="L53" s="35">
        <v>0</v>
      </c>
      <c r="M53" s="35">
        <v>0</v>
      </c>
      <c r="N53" s="22">
        <f>SUM(I53:M53)</f>
        <v>70132.86</v>
      </c>
      <c r="O53"/>
    </row>
    <row r="54" spans="1:15" ht="12.75" customHeight="1" x14ac:dyDescent="0.25">
      <c r="A54" s="229">
        <v>51</v>
      </c>
      <c r="D54">
        <v>159927</v>
      </c>
      <c r="E54" s="16" t="s">
        <v>175</v>
      </c>
      <c r="F54" t="s">
        <v>43</v>
      </c>
      <c r="G54" s="31">
        <f t="shared" ca="1" si="0"/>
        <v>44700.5166664352</v>
      </c>
      <c r="H54" s="16" t="s">
        <v>222</v>
      </c>
      <c r="I54" s="39">
        <v>0</v>
      </c>
      <c r="J54" s="39"/>
      <c r="K54" s="35">
        <f>'CTE TRANS'!AL57</f>
        <v>7413.2</v>
      </c>
      <c r="L54" s="35">
        <v>0</v>
      </c>
      <c r="M54" s="35">
        <v>0</v>
      </c>
      <c r="N54" s="22">
        <f t="shared" si="1"/>
        <v>7413.2</v>
      </c>
      <c r="O54"/>
    </row>
    <row r="55" spans="1:15" ht="12.75" customHeight="1" x14ac:dyDescent="0.25">
      <c r="A55" s="233" t="s">
        <v>1</v>
      </c>
      <c r="D55">
        <v>154252</v>
      </c>
      <c r="E55" s="19" t="s">
        <v>175</v>
      </c>
      <c r="F55" t="s">
        <v>150</v>
      </c>
      <c r="G55" s="31">
        <f t="shared" ca="1" si="0"/>
        <v>44700.5166664352</v>
      </c>
      <c r="H55" s="16" t="s">
        <v>222</v>
      </c>
      <c r="I55" s="772">
        <v>0</v>
      </c>
      <c r="J55" s="772"/>
      <c r="K55" s="773">
        <f>'CTE TRANS'!AL56</f>
        <v>0</v>
      </c>
      <c r="L55" s="773">
        <v>0</v>
      </c>
      <c r="M55" s="773">
        <v>0</v>
      </c>
      <c r="N55" s="778">
        <f t="shared" si="1"/>
        <v>0</v>
      </c>
      <c r="O55" s="768" t="s">
        <v>1</v>
      </c>
    </row>
    <row r="56" spans="1:15" ht="12.75" customHeight="1" x14ac:dyDescent="0.25">
      <c r="A56" s="229">
        <v>52</v>
      </c>
      <c r="D56">
        <v>177504</v>
      </c>
      <c r="E56" s="16" t="s">
        <v>176</v>
      </c>
      <c r="F56" t="s">
        <v>18</v>
      </c>
      <c r="G56" s="31">
        <f t="shared" ca="1" si="0"/>
        <v>44700.5166664352</v>
      </c>
      <c r="H56" s="16" t="s">
        <v>222</v>
      </c>
      <c r="I56" s="39">
        <v>0</v>
      </c>
      <c r="J56" s="39"/>
      <c r="K56" s="35">
        <f>'CTE TRANS'!AL58</f>
        <v>1965.6</v>
      </c>
      <c r="L56" s="35">
        <v>0</v>
      </c>
      <c r="M56" s="35">
        <v>0</v>
      </c>
      <c r="N56" s="22">
        <f t="shared" si="1"/>
        <v>1965.6</v>
      </c>
      <c r="O56"/>
    </row>
    <row r="57" spans="1:15" ht="12.75" customHeight="1" x14ac:dyDescent="0.25">
      <c r="A57" s="229">
        <v>53</v>
      </c>
      <c r="D57">
        <v>159931</v>
      </c>
      <c r="E57" s="16" t="s">
        <v>175</v>
      </c>
      <c r="F57" t="s">
        <v>33</v>
      </c>
      <c r="G57" s="31">
        <f t="shared" ca="1" si="0"/>
        <v>44700.5166664352</v>
      </c>
      <c r="H57" s="16" t="s">
        <v>222</v>
      </c>
      <c r="I57" s="39">
        <v>0</v>
      </c>
      <c r="J57" s="39"/>
      <c r="K57" s="35">
        <f>'CTE TRANS'!AL59</f>
        <v>10166.4</v>
      </c>
      <c r="L57" s="35">
        <v>0</v>
      </c>
      <c r="M57" s="35">
        <v>0</v>
      </c>
      <c r="N57" s="22">
        <f t="shared" si="1"/>
        <v>10166.4</v>
      </c>
      <c r="O57"/>
    </row>
    <row r="58" spans="1:15" ht="12.75" customHeight="1" x14ac:dyDescent="0.25">
      <c r="A58" s="229">
        <v>54</v>
      </c>
      <c r="D58">
        <v>159932</v>
      </c>
      <c r="E58" s="16" t="s">
        <v>175</v>
      </c>
      <c r="F58" s="6" t="s">
        <v>836</v>
      </c>
      <c r="G58" s="31">
        <f t="shared" ca="1" si="0"/>
        <v>44700.5166664352</v>
      </c>
      <c r="H58" s="16" t="s">
        <v>222</v>
      </c>
      <c r="I58" s="39">
        <v>0</v>
      </c>
      <c r="J58" s="39"/>
      <c r="K58" s="35">
        <f>'CTE TRANS'!AL60</f>
        <v>18035.400000000001</v>
      </c>
      <c r="L58" s="35">
        <v>0</v>
      </c>
      <c r="M58" s="35">
        <v>0</v>
      </c>
      <c r="N58" s="22">
        <f t="shared" si="1"/>
        <v>18035.400000000001</v>
      </c>
      <c r="O58"/>
    </row>
    <row r="59" spans="1:15" ht="12.75" customHeight="1" x14ac:dyDescent="0.25">
      <c r="A59" s="229">
        <v>55</v>
      </c>
      <c r="D59">
        <v>177308</v>
      </c>
      <c r="E59" s="16" t="s">
        <v>176</v>
      </c>
      <c r="F59" t="s">
        <v>47</v>
      </c>
      <c r="G59" s="31">
        <f t="shared" ca="1" si="0"/>
        <v>44700.5166664352</v>
      </c>
      <c r="H59" s="16" t="s">
        <v>222</v>
      </c>
      <c r="I59" s="39">
        <f>'TT entry &amp; transportation'!M160</f>
        <v>3726.37</v>
      </c>
      <c r="J59" s="44"/>
      <c r="K59" s="35">
        <v>0</v>
      </c>
      <c r="L59" s="35">
        <v>0</v>
      </c>
      <c r="M59" s="35">
        <v>0</v>
      </c>
      <c r="N59" s="22">
        <f>SUM(I59:M59)</f>
        <v>3726.37</v>
      </c>
      <c r="O59"/>
    </row>
    <row r="60" spans="1:15" ht="12.75" customHeight="1" x14ac:dyDescent="0.25">
      <c r="A60" s="229">
        <v>56</v>
      </c>
      <c r="D60">
        <v>159935</v>
      </c>
      <c r="E60" s="16" t="s">
        <v>175</v>
      </c>
      <c r="F60" s="211" t="s">
        <v>164</v>
      </c>
      <c r="G60" s="212">
        <f t="shared" ca="1" si="0"/>
        <v>44700.5166664352</v>
      </c>
      <c r="H60" s="213" t="s">
        <v>224</v>
      </c>
      <c r="I60" s="214">
        <f>'TT entry &amp; transportation'!L200+'TT entry &amp; transportation'!L183</f>
        <v>11179.11</v>
      </c>
      <c r="J60" s="38"/>
      <c r="K60" s="40">
        <f>'CTE TRANS'!AL61</f>
        <v>0</v>
      </c>
      <c r="L60" s="40">
        <v>0</v>
      </c>
      <c r="M60" s="35">
        <v>0</v>
      </c>
      <c r="N60" s="22">
        <f t="shared" si="1"/>
        <v>11179.11</v>
      </c>
      <c r="O60"/>
    </row>
    <row r="61" spans="1:15" ht="12.75" customHeight="1" x14ac:dyDescent="0.25">
      <c r="A61" s="229">
        <v>57</v>
      </c>
      <c r="D61">
        <v>154151</v>
      </c>
      <c r="E61" s="16" t="s">
        <v>175</v>
      </c>
      <c r="F61" t="s">
        <v>196</v>
      </c>
      <c r="G61" s="31">
        <f t="shared" ca="1" si="0"/>
        <v>44700.5166664352</v>
      </c>
      <c r="H61" s="16" t="s">
        <v>189</v>
      </c>
      <c r="I61" s="38">
        <f>'TT entry &amp; transportation'!M158</f>
        <v>334131.38</v>
      </c>
      <c r="J61" s="41"/>
      <c r="K61" s="40">
        <f>'CTE TRANS'!AL62</f>
        <v>3405</v>
      </c>
      <c r="L61" s="40">
        <f>'TT entry &amp; transportation'!M249</f>
        <v>6292.5</v>
      </c>
      <c r="M61" s="35">
        <v>0</v>
      </c>
      <c r="N61" s="22">
        <f t="shared" si="1"/>
        <v>343828.88</v>
      </c>
      <c r="O61"/>
    </row>
    <row r="62" spans="1:15" ht="12.75" customHeight="1" x14ac:dyDescent="0.25">
      <c r="A62" s="233" t="s">
        <v>1</v>
      </c>
      <c r="D62" s="3">
        <v>159937</v>
      </c>
      <c r="E62" s="18" t="s">
        <v>175</v>
      </c>
      <c r="F62" s="215" t="s">
        <v>63</v>
      </c>
      <c r="G62" s="212">
        <f t="shared" ca="1" si="0"/>
        <v>44700.5166664352</v>
      </c>
      <c r="H62" s="213" t="s">
        <v>221</v>
      </c>
      <c r="I62" s="214">
        <f>'TT entry &amp; transportation'!L192</f>
        <v>3726.37</v>
      </c>
      <c r="J62" s="38"/>
      <c r="K62" s="40">
        <f>'CTE TRANS'!AL63</f>
        <v>0</v>
      </c>
      <c r="L62" s="40">
        <v>0</v>
      </c>
      <c r="M62" s="35">
        <v>0</v>
      </c>
      <c r="N62" s="43">
        <f>SUM(I62:M62)</f>
        <v>3726.37</v>
      </c>
      <c r="O62"/>
    </row>
    <row r="63" spans="1:15" ht="12.75" customHeight="1" x14ac:dyDescent="0.25">
      <c r="A63" s="229">
        <v>58</v>
      </c>
      <c r="D63">
        <v>159939</v>
      </c>
      <c r="E63" s="16" t="s">
        <v>175</v>
      </c>
      <c r="F63" t="s">
        <v>13</v>
      </c>
      <c r="G63" s="31">
        <f t="shared" ca="1" si="0"/>
        <v>44700.5166664352</v>
      </c>
      <c r="H63" s="16" t="s">
        <v>222</v>
      </c>
      <c r="I63" s="39">
        <v>0</v>
      </c>
      <c r="J63" s="39"/>
      <c r="K63" s="35">
        <f>'CTE TRANS'!AL64</f>
        <v>8017.5</v>
      </c>
      <c r="L63" s="35">
        <v>0</v>
      </c>
      <c r="M63" s="35">
        <v>0</v>
      </c>
      <c r="N63" s="22">
        <f t="shared" si="1"/>
        <v>8017.5</v>
      </c>
      <c r="O63"/>
    </row>
    <row r="64" spans="1:15" s="182" customFormat="1" ht="12.75" customHeight="1" x14ac:dyDescent="0.25">
      <c r="A64" s="229"/>
      <c r="B64" s="185"/>
      <c r="C64" s="185"/>
      <c r="D64" s="182">
        <v>177463</v>
      </c>
      <c r="E64" s="185" t="s">
        <v>496</v>
      </c>
      <c r="F64" s="262" t="s">
        <v>487</v>
      </c>
      <c r="G64" s="234"/>
      <c r="H64" s="185"/>
      <c r="I64" s="39">
        <v>0</v>
      </c>
      <c r="J64" s="235"/>
      <c r="K64" s="236">
        <f>'CTE TRANS'!AL65</f>
        <v>258</v>
      </c>
      <c r="L64" s="236">
        <v>0</v>
      </c>
      <c r="M64" s="236">
        <v>0</v>
      </c>
      <c r="N64" s="237">
        <f t="shared" si="1"/>
        <v>258</v>
      </c>
    </row>
    <row r="65" spans="1:15" ht="12.75" customHeight="1" x14ac:dyDescent="0.25">
      <c r="A65" s="229">
        <v>59</v>
      </c>
      <c r="D65">
        <v>154909</v>
      </c>
      <c r="E65" s="16" t="s">
        <v>175</v>
      </c>
      <c r="F65" t="s">
        <v>41</v>
      </c>
      <c r="G65" s="31">
        <f t="shared" ca="1" si="0"/>
        <v>44700.5166664352</v>
      </c>
      <c r="H65" s="16" t="s">
        <v>222</v>
      </c>
      <c r="I65" s="39">
        <v>0</v>
      </c>
      <c r="J65" s="39"/>
      <c r="K65" s="35">
        <f>'CTE TRANS'!AL66</f>
        <v>6159.6</v>
      </c>
      <c r="L65" s="35">
        <v>0</v>
      </c>
      <c r="M65" s="35">
        <v>0</v>
      </c>
      <c r="N65" s="22">
        <f t="shared" si="1"/>
        <v>6159.6</v>
      </c>
    </row>
    <row r="66" spans="1:15" ht="12.75" customHeight="1" x14ac:dyDescent="0.25">
      <c r="A66" s="229">
        <v>60</v>
      </c>
      <c r="D66">
        <v>170972</v>
      </c>
      <c r="E66" s="16" t="s">
        <v>175</v>
      </c>
      <c r="F66" t="s">
        <v>197</v>
      </c>
      <c r="G66" s="31">
        <f t="shared" ca="1" si="0"/>
        <v>44700.5166664352</v>
      </c>
      <c r="H66" s="16" t="s">
        <v>222</v>
      </c>
      <c r="I66" s="39">
        <v>0</v>
      </c>
      <c r="J66" s="39"/>
      <c r="K66" s="35">
        <f>'CTE TRANS'!AL67</f>
        <v>14983.2</v>
      </c>
      <c r="L66" s="35">
        <v>0</v>
      </c>
      <c r="M66" s="35">
        <v>0</v>
      </c>
      <c r="N66" s="22">
        <f t="shared" si="1"/>
        <v>14983.2</v>
      </c>
    </row>
    <row r="67" spans="1:15" ht="12.75" customHeight="1" x14ac:dyDescent="0.25">
      <c r="A67" s="229">
        <v>61</v>
      </c>
      <c r="D67">
        <v>159945</v>
      </c>
      <c r="E67" s="16" t="s">
        <v>175</v>
      </c>
      <c r="F67" t="s">
        <v>23</v>
      </c>
      <c r="G67" s="31">
        <f t="shared" ca="1" si="0"/>
        <v>44700.5166664352</v>
      </c>
      <c r="H67" s="16" t="s">
        <v>222</v>
      </c>
      <c r="I67" s="39">
        <v>0</v>
      </c>
      <c r="J67" s="39"/>
      <c r="K67" s="35">
        <f>'CTE TRANS'!AL68</f>
        <v>16965.099999999999</v>
      </c>
      <c r="L67" s="35">
        <v>0</v>
      </c>
      <c r="M67" s="35">
        <v>0</v>
      </c>
      <c r="N67" s="22">
        <f t="shared" si="1"/>
        <v>16965.099999999999</v>
      </c>
    </row>
    <row r="68" spans="1:15" ht="12.75" customHeight="1" x14ac:dyDescent="0.25">
      <c r="A68" s="229">
        <v>62</v>
      </c>
      <c r="D68" s="28">
        <v>177533</v>
      </c>
      <c r="E68" s="29" t="s">
        <v>175</v>
      </c>
      <c r="F68" s="211" t="s">
        <v>218</v>
      </c>
      <c r="G68" s="212">
        <f t="shared" ca="1" si="0"/>
        <v>44700.5166664352</v>
      </c>
      <c r="H68" s="216" t="s">
        <v>189</v>
      </c>
      <c r="I68" s="214">
        <f>'TT entry &amp; transportation'!L184+'TT entry &amp; transportation'!L201</f>
        <v>18631.849999999999</v>
      </c>
      <c r="J68" s="39"/>
      <c r="K68" s="35">
        <f>'CTE TRANS'!AL69</f>
        <v>1918.2</v>
      </c>
      <c r="L68" s="35">
        <v>0</v>
      </c>
      <c r="M68" s="35">
        <v>0</v>
      </c>
      <c r="N68" s="43">
        <f>SUM(I68:M68)</f>
        <v>20550.05</v>
      </c>
    </row>
    <row r="69" spans="1:15" s="3" customFormat="1" ht="12.75" customHeight="1" x14ac:dyDescent="0.25">
      <c r="A69" s="229">
        <v>63</v>
      </c>
      <c r="B69" s="18"/>
      <c r="C69" s="18"/>
      <c r="D69" s="3">
        <v>177467</v>
      </c>
      <c r="E69" s="18" t="s">
        <v>180</v>
      </c>
      <c r="F69" s="12" t="s">
        <v>238</v>
      </c>
      <c r="G69" s="42">
        <f t="shared" ca="1" si="0"/>
        <v>44700.5166664352</v>
      </c>
      <c r="H69" s="18" t="s">
        <v>189</v>
      </c>
      <c r="I69" s="38">
        <f>'TT entry &amp; transportation'!M165</f>
        <v>96885.83</v>
      </c>
      <c r="J69" s="41"/>
      <c r="K69" s="40">
        <f>'CTE TRANS'!AL70</f>
        <v>4046.4</v>
      </c>
      <c r="L69" s="40">
        <v>0</v>
      </c>
      <c r="M69" s="40">
        <v>0</v>
      </c>
      <c r="N69" s="23">
        <f t="shared" si="1"/>
        <v>100932.23</v>
      </c>
      <c r="O69" s="18"/>
    </row>
    <row r="70" spans="1:15" s="3" customFormat="1" ht="12.75" customHeight="1" x14ac:dyDescent="0.25">
      <c r="A70" s="229"/>
      <c r="B70" s="18"/>
      <c r="C70" s="18"/>
      <c r="D70" s="182">
        <v>174410</v>
      </c>
      <c r="E70" s="185" t="s">
        <v>587</v>
      </c>
      <c r="F70" s="262" t="s">
        <v>584</v>
      </c>
      <c r="G70" s="42"/>
      <c r="H70" s="18"/>
      <c r="I70" s="772">
        <v>0</v>
      </c>
      <c r="J70" s="779"/>
      <c r="K70" s="773">
        <v>0</v>
      </c>
      <c r="L70" s="773">
        <v>0</v>
      </c>
      <c r="M70" s="773">
        <v>0</v>
      </c>
      <c r="N70" s="774">
        <f t="shared" si="1"/>
        <v>0</v>
      </c>
      <c r="O70" s="768" t="s">
        <v>1</v>
      </c>
    </row>
    <row r="71" spans="1:15" ht="12.75" customHeight="1" x14ac:dyDescent="0.25">
      <c r="A71" s="229">
        <v>64</v>
      </c>
      <c r="D71">
        <v>177471</v>
      </c>
      <c r="E71" s="16" t="s">
        <v>176</v>
      </c>
      <c r="F71" t="s">
        <v>14</v>
      </c>
      <c r="G71" s="31">
        <f t="shared" ca="1" si="0"/>
        <v>44700.5166664352</v>
      </c>
      <c r="H71" s="16" t="s">
        <v>189</v>
      </c>
      <c r="I71" s="772">
        <f>'TT entry &amp; transportation'!M170</f>
        <v>657704.28</v>
      </c>
      <c r="J71" s="772"/>
      <c r="K71" s="773">
        <f>'CTE TRANS'!AL72</f>
        <v>1690</v>
      </c>
      <c r="L71" s="773">
        <v>0</v>
      </c>
      <c r="M71" s="773">
        <v>0</v>
      </c>
      <c r="N71" s="774">
        <f t="shared" si="1"/>
        <v>659394.28</v>
      </c>
      <c r="O71" s="780"/>
    </row>
    <row r="72" spans="1:15" ht="12.75" customHeight="1" x14ac:dyDescent="0.25">
      <c r="A72" s="229">
        <v>65</v>
      </c>
      <c r="D72">
        <v>154453</v>
      </c>
      <c r="E72" s="16" t="s">
        <v>175</v>
      </c>
      <c r="F72" t="s">
        <v>162</v>
      </c>
      <c r="G72" s="31">
        <f t="shared" ca="1" si="0"/>
        <v>44700.5166664352</v>
      </c>
      <c r="H72" s="16" t="s">
        <v>222</v>
      </c>
      <c r="I72" s="38">
        <v>0</v>
      </c>
      <c r="J72" s="39"/>
      <c r="K72" s="35">
        <f>'CTE TRANS'!AL73</f>
        <v>11328.4</v>
      </c>
      <c r="L72" s="35">
        <v>0</v>
      </c>
      <c r="M72" s="35">
        <v>0</v>
      </c>
      <c r="N72" s="22">
        <f t="shared" si="1"/>
        <v>11328.4</v>
      </c>
    </row>
    <row r="73" spans="1:15" ht="12.75" customHeight="1" x14ac:dyDescent="0.25">
      <c r="A73" s="229">
        <v>66</v>
      </c>
      <c r="D73">
        <v>154662</v>
      </c>
      <c r="E73" s="16" t="s">
        <v>175</v>
      </c>
      <c r="F73" t="s">
        <v>198</v>
      </c>
      <c r="G73" s="31">
        <f t="shared" ca="1" si="0"/>
        <v>44700.5166664352</v>
      </c>
      <c r="H73" s="16" t="s">
        <v>222</v>
      </c>
      <c r="I73" s="38">
        <v>0</v>
      </c>
      <c r="J73" s="39"/>
      <c r="K73" s="35">
        <f>'CTE TRANS'!AL74</f>
        <v>9814.7000000000007</v>
      </c>
      <c r="L73" s="35">
        <v>0</v>
      </c>
      <c r="M73" s="35">
        <f>'TT entry &amp; transportation'!P231</f>
        <v>0</v>
      </c>
      <c r="N73" s="22">
        <f t="shared" ref="N73:N86" si="2">SUM(I73:M73)</f>
        <v>9814.7000000000007</v>
      </c>
    </row>
    <row r="74" spans="1:15" ht="12.75" customHeight="1" x14ac:dyDescent="0.25">
      <c r="A74" s="229">
        <v>67</v>
      </c>
      <c r="D74">
        <v>177189</v>
      </c>
      <c r="E74" s="16" t="s">
        <v>176</v>
      </c>
      <c r="F74" t="s">
        <v>141</v>
      </c>
      <c r="G74" s="31">
        <f t="shared" ca="1" si="0"/>
        <v>44700.5166664352</v>
      </c>
      <c r="H74" s="16" t="s">
        <v>189</v>
      </c>
      <c r="I74" s="38">
        <f>'TT entry &amp; transportation'!M176</f>
        <v>91296.09</v>
      </c>
      <c r="J74" s="44"/>
      <c r="K74" s="35">
        <f>'CTE TRANS'!AL75</f>
        <v>1879</v>
      </c>
      <c r="L74" s="35">
        <v>0</v>
      </c>
      <c r="M74" s="35">
        <v>0</v>
      </c>
      <c r="N74" s="22">
        <f t="shared" si="2"/>
        <v>93175.09</v>
      </c>
    </row>
    <row r="75" spans="1:15" ht="12.75" customHeight="1" x14ac:dyDescent="0.25">
      <c r="A75" s="229">
        <v>68</v>
      </c>
      <c r="D75">
        <v>156786</v>
      </c>
      <c r="E75" s="16" t="s">
        <v>175</v>
      </c>
      <c r="F75" t="s">
        <v>50</v>
      </c>
      <c r="G75" s="31">
        <f t="shared" ca="1" si="0"/>
        <v>44700.5166664352</v>
      </c>
      <c r="H75" s="16" t="s">
        <v>222</v>
      </c>
      <c r="I75" s="38">
        <v>0</v>
      </c>
      <c r="J75" s="39"/>
      <c r="K75" s="35">
        <f>'CTE TRANS'!AL76</f>
        <v>2650.6</v>
      </c>
      <c r="L75" s="35">
        <v>0</v>
      </c>
      <c r="M75" s="35">
        <v>0</v>
      </c>
      <c r="N75" s="22">
        <f t="shared" si="2"/>
        <v>2650.6</v>
      </c>
    </row>
    <row r="76" spans="1:15" ht="12.75" customHeight="1" x14ac:dyDescent="0.25">
      <c r="A76" s="229">
        <v>69</v>
      </c>
      <c r="D76" s="28">
        <v>159950</v>
      </c>
      <c r="E76" s="29" t="s">
        <v>219</v>
      </c>
      <c r="F76" s="211" t="s">
        <v>220</v>
      </c>
      <c r="G76" s="212">
        <f t="shared" ca="1" si="0"/>
        <v>44700.5166664352</v>
      </c>
      <c r="H76" s="216" t="s">
        <v>189</v>
      </c>
      <c r="I76" s="214">
        <f>'TT entry &amp; transportation'!L204</f>
        <v>0</v>
      </c>
      <c r="J76" s="772"/>
      <c r="K76" s="773">
        <f>'CTE TRANS'!AL77</f>
        <v>0</v>
      </c>
      <c r="L76" s="773">
        <v>0</v>
      </c>
      <c r="M76" s="773">
        <v>0</v>
      </c>
      <c r="N76" s="778">
        <f>SUM(I76:M76)</f>
        <v>0</v>
      </c>
      <c r="O76" s="768" t="s">
        <v>1</v>
      </c>
    </row>
    <row r="77" spans="1:15" s="864" customFormat="1" ht="12.75" customHeight="1" x14ac:dyDescent="0.25">
      <c r="A77" s="771"/>
      <c r="B77" s="489"/>
      <c r="C77" s="489"/>
      <c r="D77" s="828">
        <v>159954</v>
      </c>
      <c r="E77" s="29" t="s">
        <v>175</v>
      </c>
      <c r="F77" s="211" t="s">
        <v>876</v>
      </c>
      <c r="G77" s="212">
        <f t="shared" ca="1" si="0"/>
        <v>44700.516666319403</v>
      </c>
      <c r="H77" s="216" t="s">
        <v>189</v>
      </c>
      <c r="I77" s="214">
        <f>'TT entry &amp; transportation'!L193</f>
        <v>3726.37</v>
      </c>
      <c r="J77" s="772"/>
      <c r="K77" s="773">
        <f>'CTE TRANS'!AL78</f>
        <v>155.69999999999999</v>
      </c>
      <c r="L77" s="773"/>
      <c r="M77" s="773"/>
      <c r="N77" s="774">
        <f>SUM(I77:M77)</f>
        <v>3882.07</v>
      </c>
      <c r="O77" s="784" t="s">
        <v>1</v>
      </c>
    </row>
    <row r="78" spans="1:15" s="784" customFormat="1" ht="12.75" customHeight="1" x14ac:dyDescent="0.25">
      <c r="A78" s="771" t="s">
        <v>1</v>
      </c>
      <c r="B78" s="769"/>
      <c r="C78" s="769"/>
      <c r="D78" s="833">
        <v>159956</v>
      </c>
      <c r="E78" s="950" t="s">
        <v>175</v>
      </c>
      <c r="F78" s="784" t="s">
        <v>870</v>
      </c>
      <c r="G78" s="234">
        <f t="shared" ca="1" si="0"/>
        <v>44700.516666319403</v>
      </c>
      <c r="H78" s="769" t="s">
        <v>222</v>
      </c>
      <c r="I78" s="772">
        <v>0</v>
      </c>
      <c r="J78" s="772"/>
      <c r="K78" s="773">
        <f>'CTE TRANS'!AL79</f>
        <v>570</v>
      </c>
      <c r="L78" s="773">
        <v>0</v>
      </c>
      <c r="M78" s="773">
        <v>0</v>
      </c>
      <c r="N78" s="774">
        <f>SUM(I78:M78)</f>
        <v>570</v>
      </c>
    </row>
    <row r="79" spans="1:15" ht="12.75" customHeight="1" x14ac:dyDescent="0.25">
      <c r="A79" s="229">
        <v>70</v>
      </c>
      <c r="D79">
        <v>159958</v>
      </c>
      <c r="E79" s="16" t="s">
        <v>175</v>
      </c>
      <c r="F79" t="s">
        <v>9</v>
      </c>
      <c r="G79" s="31">
        <f t="shared" ref="G79:G88" ca="1" si="3">NOW()</f>
        <v>44700.5166664352</v>
      </c>
      <c r="H79" s="16" t="s">
        <v>222</v>
      </c>
      <c r="I79" s="38">
        <v>0</v>
      </c>
      <c r="J79" s="39"/>
      <c r="K79" s="35">
        <f>'CTE TRANS'!AL80</f>
        <v>1153.2</v>
      </c>
      <c r="L79" s="35">
        <v>0</v>
      </c>
      <c r="M79" s="35">
        <v>0</v>
      </c>
      <c r="N79" s="22">
        <f t="shared" si="2"/>
        <v>1153.2</v>
      </c>
    </row>
    <row r="80" spans="1:15" ht="12.75" customHeight="1" x14ac:dyDescent="0.25">
      <c r="A80" s="229">
        <v>71</v>
      </c>
      <c r="D80">
        <v>177196</v>
      </c>
      <c r="E80" s="16" t="s">
        <v>176</v>
      </c>
      <c r="F80" t="s">
        <v>15</v>
      </c>
      <c r="G80" s="31">
        <f t="shared" ca="1" si="3"/>
        <v>44700.5166664352</v>
      </c>
      <c r="H80" s="16" t="s">
        <v>222</v>
      </c>
      <c r="I80" s="38">
        <v>0</v>
      </c>
      <c r="J80" s="39"/>
      <c r="K80" s="35">
        <f>'CTE TRANS'!AL81</f>
        <v>20433.599999999999</v>
      </c>
      <c r="L80" s="35">
        <v>0</v>
      </c>
      <c r="M80" s="35">
        <v>0</v>
      </c>
      <c r="N80" s="22">
        <f t="shared" si="2"/>
        <v>20433.599999999999</v>
      </c>
    </row>
    <row r="81" spans="1:18" ht="12.75" customHeight="1" x14ac:dyDescent="0.25">
      <c r="A81" s="229">
        <v>72</v>
      </c>
      <c r="D81">
        <v>177494</v>
      </c>
      <c r="E81" s="16" t="s">
        <v>176</v>
      </c>
      <c r="F81" s="211" t="s">
        <v>165</v>
      </c>
      <c r="G81" s="212">
        <f t="shared" ca="1" si="3"/>
        <v>44700.5166664352</v>
      </c>
      <c r="H81" s="213" t="s">
        <v>221</v>
      </c>
      <c r="I81" s="214">
        <f>'TT entry &amp; transportation'!L185+'TT entry &amp; transportation'!L202</f>
        <v>0</v>
      </c>
      <c r="J81" s="39"/>
      <c r="K81" s="35">
        <f>'CTE TRANS'!AL82</f>
        <v>0</v>
      </c>
      <c r="L81" s="35">
        <v>0</v>
      </c>
      <c r="M81" s="35">
        <v>0</v>
      </c>
      <c r="N81" s="22">
        <f t="shared" si="2"/>
        <v>0</v>
      </c>
    </row>
    <row r="82" spans="1:18" ht="12.75" customHeight="1" x14ac:dyDescent="0.25">
      <c r="A82" s="229">
        <v>73</v>
      </c>
      <c r="D82" s="6">
        <v>156047</v>
      </c>
      <c r="E82" s="16" t="s">
        <v>175</v>
      </c>
      <c r="F82" t="s">
        <v>199</v>
      </c>
      <c r="G82" s="31">
        <f t="shared" ca="1" si="3"/>
        <v>44700.5166664352</v>
      </c>
      <c r="H82" s="16" t="s">
        <v>222</v>
      </c>
      <c r="I82" s="39">
        <v>0</v>
      </c>
      <c r="J82" s="39"/>
      <c r="K82" s="35">
        <f>'CTE TRANS'!AL31</f>
        <v>15961.9</v>
      </c>
      <c r="L82" s="35">
        <v>0</v>
      </c>
      <c r="M82" s="35">
        <v>0</v>
      </c>
      <c r="N82" s="22">
        <f t="shared" si="2"/>
        <v>15961.9</v>
      </c>
    </row>
    <row r="83" spans="1:18" ht="12.75" customHeight="1" x14ac:dyDescent="0.25">
      <c r="A83" s="229">
        <v>74</v>
      </c>
      <c r="D83">
        <v>177191</v>
      </c>
      <c r="E83" s="16" t="s">
        <v>176</v>
      </c>
      <c r="F83" t="s">
        <v>200</v>
      </c>
      <c r="G83" s="31">
        <f t="shared" ca="1" si="3"/>
        <v>44700.5166664352</v>
      </c>
      <c r="H83" s="16" t="s">
        <v>189</v>
      </c>
      <c r="I83" s="38">
        <f>'TT entry &amp; transportation'!M215+0.01</f>
        <v>83222.36</v>
      </c>
      <c r="J83" s="38">
        <f>Differential!F24</f>
        <v>10300.14</v>
      </c>
      <c r="K83" s="35">
        <f>'CTE TRANS'!AL83</f>
        <v>10568.6</v>
      </c>
      <c r="L83" s="35">
        <v>0</v>
      </c>
      <c r="M83" s="35">
        <v>0</v>
      </c>
      <c r="N83" s="22">
        <f t="shared" si="2"/>
        <v>104091.1</v>
      </c>
    </row>
    <row r="84" spans="1:18" ht="12.75" customHeight="1" x14ac:dyDescent="0.25">
      <c r="A84" s="229">
        <v>75</v>
      </c>
      <c r="D84">
        <v>154542</v>
      </c>
      <c r="E84" s="16" t="s">
        <v>175</v>
      </c>
      <c r="F84" t="s">
        <v>53</v>
      </c>
      <c r="G84" s="31">
        <f t="shared" ca="1" si="3"/>
        <v>44700.5166664352</v>
      </c>
      <c r="H84" s="16" t="s">
        <v>222</v>
      </c>
      <c r="I84" s="39">
        <v>0</v>
      </c>
      <c r="J84" s="39"/>
      <c r="K84" s="35">
        <f>'CTE TRANS'!AL84</f>
        <v>1042.5</v>
      </c>
      <c r="L84" s="35">
        <v>0</v>
      </c>
      <c r="M84" s="35">
        <v>0</v>
      </c>
      <c r="N84" s="22">
        <f t="shared" si="2"/>
        <v>1042.5</v>
      </c>
      <c r="O84"/>
    </row>
    <row r="85" spans="1:18" ht="12.75" customHeight="1" x14ac:dyDescent="0.25">
      <c r="A85" s="229">
        <v>76</v>
      </c>
      <c r="D85" s="3">
        <v>159982</v>
      </c>
      <c r="E85" s="18" t="s">
        <v>175</v>
      </c>
      <c r="F85" s="262" t="s">
        <v>58</v>
      </c>
      <c r="G85" s="31">
        <f t="shared" ca="1" si="3"/>
        <v>44700.5166664352</v>
      </c>
      <c r="I85" s="39">
        <v>0</v>
      </c>
      <c r="J85" s="39"/>
      <c r="K85" s="35">
        <f>'CTE TRANS'!AL86</f>
        <v>18039.400000000001</v>
      </c>
      <c r="L85" s="35">
        <v>0</v>
      </c>
      <c r="M85" s="35">
        <v>0</v>
      </c>
      <c r="N85" s="22">
        <f t="shared" si="2"/>
        <v>18039.400000000001</v>
      </c>
      <c r="O85"/>
    </row>
    <row r="86" spans="1:18" ht="12.75" customHeight="1" x14ac:dyDescent="0.25">
      <c r="A86" s="229">
        <v>77</v>
      </c>
      <c r="D86">
        <v>160005</v>
      </c>
      <c r="E86" s="16" t="s">
        <v>175</v>
      </c>
      <c r="F86" t="s">
        <v>21</v>
      </c>
      <c r="G86" s="31">
        <f t="shared" ca="1" si="3"/>
        <v>44700.5166664352</v>
      </c>
      <c r="H86" s="16" t="s">
        <v>222</v>
      </c>
      <c r="I86" s="39">
        <v>0</v>
      </c>
      <c r="J86" s="39"/>
      <c r="K86" s="35">
        <f>'CTE TRANS'!AL87</f>
        <v>12234.6</v>
      </c>
      <c r="L86" s="35">
        <v>0</v>
      </c>
      <c r="M86" s="35">
        <v>0</v>
      </c>
      <c r="N86" s="22">
        <f t="shared" si="2"/>
        <v>12234.6</v>
      </c>
      <c r="O86"/>
    </row>
    <row r="87" spans="1:18" ht="12.75" customHeight="1" x14ac:dyDescent="0.25">
      <c r="A87" s="229">
        <v>78</v>
      </c>
      <c r="D87">
        <v>177201</v>
      </c>
      <c r="E87" s="16" t="s">
        <v>178</v>
      </c>
      <c r="F87" t="s">
        <v>39</v>
      </c>
      <c r="G87" s="31">
        <f t="shared" ca="1" si="3"/>
        <v>44700.5166664352</v>
      </c>
      <c r="H87" s="16" t="s">
        <v>189</v>
      </c>
      <c r="I87" s="39">
        <f>'TT entry &amp; transportation'!M222+0.01</f>
        <v>42853.279999999999</v>
      </c>
      <c r="J87" s="44"/>
      <c r="K87" s="35">
        <f>'CTE TRANS'!AL88</f>
        <v>15889</v>
      </c>
      <c r="L87" s="35">
        <v>0</v>
      </c>
      <c r="M87" s="35">
        <f>'TT entry &amp; transportation'!P235</f>
        <v>0</v>
      </c>
      <c r="N87" s="22">
        <f>SUM(I87:M87)</f>
        <v>58742.28</v>
      </c>
      <c r="O87" t="s">
        <v>1</v>
      </c>
    </row>
    <row r="88" spans="1:18" ht="12.75" customHeight="1" x14ac:dyDescent="0.25">
      <c r="A88" s="229">
        <v>79</v>
      </c>
      <c r="D88">
        <v>154383</v>
      </c>
      <c r="E88" s="16" t="s">
        <v>175</v>
      </c>
      <c r="F88" t="s">
        <v>201</v>
      </c>
      <c r="G88" s="31">
        <f t="shared" ca="1" si="3"/>
        <v>44700.5166664352</v>
      </c>
      <c r="H88" s="16" t="s">
        <v>189</v>
      </c>
      <c r="I88" s="39">
        <f>'TT entry &amp; transportation'!M226+0.01</f>
        <v>209297.78</v>
      </c>
      <c r="J88" s="39"/>
      <c r="K88" s="35">
        <f>'CTE TRANS'!AL89</f>
        <v>0</v>
      </c>
      <c r="L88" s="35">
        <v>0</v>
      </c>
      <c r="M88" s="35">
        <v>0</v>
      </c>
      <c r="N88" s="22">
        <f>SUM(I88:M88)</f>
        <v>209297.78</v>
      </c>
      <c r="O88" s="487" t="s">
        <v>1</v>
      </c>
    </row>
    <row r="89" spans="1:18" ht="12.75" customHeight="1" x14ac:dyDescent="0.25">
      <c r="G89" s="31"/>
      <c r="O89"/>
    </row>
    <row r="90" spans="1:18" ht="12.75" customHeight="1" x14ac:dyDescent="0.25">
      <c r="E90"/>
      <c r="H90" s="24" t="s">
        <v>202</v>
      </c>
      <c r="I90" s="225">
        <f>SUM(I2:I89)</f>
        <v>8231552.6299999999</v>
      </c>
      <c r="J90" s="225">
        <f>SUM(J2:J89)</f>
        <v>170527.22</v>
      </c>
      <c r="K90" s="1015">
        <f>SUM(K2:K88)</f>
        <v>584690.15</v>
      </c>
      <c r="L90" s="1015">
        <f>SUM(L2:L89)</f>
        <v>13230</v>
      </c>
      <c r="M90" s="1015">
        <f>SUM(M2:M89)</f>
        <v>0</v>
      </c>
      <c r="N90" s="218">
        <f>SUM(I90:M90)</f>
        <v>9000000</v>
      </c>
    </row>
    <row r="91" spans="1:18" ht="13.2" x14ac:dyDescent="0.25">
      <c r="E91"/>
      <c r="H91"/>
      <c r="I91" s="966"/>
      <c r="J91" s="966"/>
      <c r="K91" s="184"/>
      <c r="L91" s="184"/>
      <c r="M91" s="188" t="s">
        <v>239</v>
      </c>
      <c r="N91" s="189">
        <f>SUM(N2:N89)</f>
        <v>9000000</v>
      </c>
      <c r="O91" s="45"/>
    </row>
    <row r="92" spans="1:18" ht="13.8" thickBot="1" x14ac:dyDescent="0.3">
      <c r="A92" s="759"/>
      <c r="B92" s="1035"/>
      <c r="C92" s="1035"/>
      <c r="D92" s="1035"/>
      <c r="E92" s="1035"/>
      <c r="F92" s="1035"/>
      <c r="G92" s="755" t="s">
        <v>203</v>
      </c>
      <c r="H92" s="749" t="s">
        <v>1</v>
      </c>
      <c r="I92" s="747"/>
      <c r="J92" s="747"/>
      <c r="K92" s="256" t="s">
        <v>1</v>
      </c>
      <c r="L92" s="747"/>
      <c r="M92" s="747"/>
      <c r="N92" s="747"/>
      <c r="O92" s="747"/>
      <c r="P92" s="720"/>
      <c r="Q92" s="720"/>
      <c r="R92" s="720"/>
    </row>
    <row r="93" spans="1:18" ht="12.75" customHeight="1" x14ac:dyDescent="0.25">
      <c r="A93" s="759"/>
      <c r="B93" s="1032" t="s">
        <v>773</v>
      </c>
      <c r="C93" s="1032"/>
      <c r="D93" s="1032"/>
      <c r="E93" s="1032"/>
      <c r="F93" s="1032"/>
      <c r="G93" s="747"/>
      <c r="H93" s="747"/>
      <c r="I93" s="752" t="s">
        <v>1</v>
      </c>
      <c r="J93" s="747"/>
      <c r="K93" s="753" t="s">
        <v>1</v>
      </c>
      <c r="L93" s="753" t="s">
        <v>1</v>
      </c>
      <c r="M93" s="753" t="s">
        <v>1</v>
      </c>
      <c r="N93" s="756"/>
      <c r="O93" s="747"/>
      <c r="P93" s="720"/>
      <c r="Q93" s="720"/>
      <c r="R93" s="720"/>
    </row>
    <row r="94" spans="1:18" ht="33.9" customHeight="1" thickBot="1" x14ac:dyDescent="0.3">
      <c r="A94" s="759"/>
      <c r="B94" s="1031" t="s">
        <v>1</v>
      </c>
      <c r="C94" s="1031"/>
      <c r="D94" s="1031"/>
      <c r="E94" s="1031"/>
      <c r="F94" s="1031"/>
      <c r="G94" s="755" t="s">
        <v>203</v>
      </c>
      <c r="H94" s="749" t="s">
        <v>1</v>
      </c>
      <c r="I94" s="752" t="s">
        <v>1</v>
      </c>
      <c r="J94" s="747"/>
      <c r="K94" s="753" t="s">
        <v>1</v>
      </c>
      <c r="L94" s="753" t="s">
        <v>1</v>
      </c>
      <c r="M94" s="753"/>
      <c r="N94" s="756"/>
      <c r="O94" s="754"/>
      <c r="P94" s="720"/>
      <c r="Q94" s="720"/>
      <c r="R94" s="720"/>
    </row>
    <row r="95" spans="1:18" ht="13.2" x14ac:dyDescent="0.25">
      <c r="A95" s="759"/>
      <c r="B95" s="1032" t="s">
        <v>774</v>
      </c>
      <c r="C95" s="1032"/>
      <c r="D95" s="1032"/>
      <c r="E95" s="1032"/>
      <c r="F95" s="1032"/>
      <c r="G95" s="747"/>
      <c r="H95" s="747"/>
      <c r="I95" s="752" t="s">
        <v>1</v>
      </c>
      <c r="J95" s="747"/>
      <c r="K95" s="1036" t="s">
        <v>204</v>
      </c>
      <c r="L95" s="1036"/>
      <c r="M95" s="757">
        <f>N90</f>
        <v>9000000</v>
      </c>
      <c r="N95" s="756" t="s">
        <v>1</v>
      </c>
      <c r="O95" s="754"/>
      <c r="P95" s="720"/>
      <c r="Q95" s="720"/>
      <c r="R95" s="720"/>
    </row>
    <row r="96" spans="1:18" ht="33.9" customHeight="1" thickBot="1" x14ac:dyDescent="0.3">
      <c r="A96" s="758"/>
      <c r="B96" s="1031" t="s">
        <v>1</v>
      </c>
      <c r="C96" s="1031"/>
      <c r="D96" s="1031"/>
      <c r="E96" s="1031"/>
      <c r="F96" s="1031"/>
      <c r="G96" s="755" t="s">
        <v>203</v>
      </c>
      <c r="H96" s="749" t="s">
        <v>1</v>
      </c>
      <c r="I96" s="752"/>
      <c r="J96" s="750"/>
      <c r="K96" s="751"/>
      <c r="L96" s="751"/>
      <c r="M96" s="746" t="s">
        <v>1</v>
      </c>
      <c r="N96" s="756" t="s">
        <v>1</v>
      </c>
      <c r="O96" s="754"/>
      <c r="P96" s="720"/>
      <c r="Q96" s="720"/>
      <c r="R96" s="720"/>
    </row>
    <row r="97" spans="1:18" s="768" customFormat="1" ht="12.75" customHeight="1" x14ac:dyDescent="0.25">
      <c r="A97" s="769"/>
      <c r="B97" s="1033" t="s">
        <v>775</v>
      </c>
      <c r="C97" s="1033"/>
      <c r="D97" s="1033"/>
      <c r="E97" s="1033"/>
      <c r="F97" s="1033"/>
      <c r="G97" s="767"/>
      <c r="I97" s="772"/>
      <c r="J97" s="743"/>
      <c r="K97" s="744"/>
      <c r="L97" s="744"/>
      <c r="M97" s="746"/>
      <c r="N97" s="745"/>
      <c r="O97" s="776"/>
      <c r="P97" s="777"/>
      <c r="Q97" s="777"/>
      <c r="R97" s="777"/>
    </row>
    <row r="98" spans="1:18" ht="33.9" customHeight="1" thickBot="1" x14ac:dyDescent="0.3">
      <c r="A98" s="758"/>
      <c r="B98" s="1031" t="s">
        <v>1</v>
      </c>
      <c r="C98" s="1031"/>
      <c r="D98" s="1031"/>
      <c r="E98" s="1031"/>
      <c r="F98" s="1031"/>
      <c r="G98" s="755" t="s">
        <v>203</v>
      </c>
      <c r="H98" s="749" t="s">
        <v>1</v>
      </c>
      <c r="I98" s="752"/>
      <c r="J98" s="750"/>
      <c r="K98" s="751"/>
      <c r="L98" s="751"/>
      <c r="M98" s="757"/>
      <c r="N98" s="756"/>
      <c r="O98" s="754"/>
      <c r="P98" s="720"/>
      <c r="Q98" s="720"/>
      <c r="R98" s="720"/>
    </row>
    <row r="99" spans="1:18" ht="12.75" customHeight="1" x14ac:dyDescent="0.25">
      <c r="A99" s="758"/>
      <c r="B99" s="1032" t="s">
        <v>776</v>
      </c>
      <c r="C99" s="1032"/>
      <c r="D99" s="1032"/>
      <c r="E99" s="1032"/>
      <c r="F99" s="1032"/>
      <c r="G99" s="748"/>
      <c r="H99" s="747"/>
      <c r="I99" s="752"/>
      <c r="J99" s="750"/>
      <c r="K99" s="751"/>
      <c r="L99" s="751"/>
      <c r="M99" s="757"/>
      <c r="N99" s="756"/>
      <c r="O99" s="754"/>
      <c r="P99" s="720"/>
      <c r="Q99" s="720"/>
      <c r="R99" s="720"/>
    </row>
    <row r="100" spans="1:18" s="760" customFormat="1" ht="12.75" customHeight="1" x14ac:dyDescent="0.25">
      <c r="A100" s="771"/>
      <c r="B100" s="775"/>
      <c r="C100" s="775"/>
      <c r="D100" s="775"/>
      <c r="E100" s="775"/>
      <c r="F100" s="775"/>
      <c r="G100" s="761"/>
      <c r="I100" s="764"/>
      <c r="J100" s="762"/>
      <c r="K100" s="763"/>
      <c r="L100" s="763"/>
      <c r="M100" s="770"/>
      <c r="N100" s="766"/>
      <c r="O100" s="765"/>
    </row>
    <row r="101" spans="1:18" ht="18" customHeight="1" x14ac:dyDescent="0.25">
      <c r="A101" s="771" t="s">
        <v>1</v>
      </c>
      <c r="B101" s="1034" t="s">
        <v>567</v>
      </c>
      <c r="C101" s="1034"/>
      <c r="D101" s="1034"/>
      <c r="E101" s="1034"/>
      <c r="F101" s="1034"/>
      <c r="G101" s="1034"/>
      <c r="H101" s="1034"/>
      <c r="I101" s="1034"/>
      <c r="J101" s="1034"/>
      <c r="K101" s="1034"/>
      <c r="L101" s="1034"/>
      <c r="M101" s="1034"/>
      <c r="N101" s="1034"/>
      <c r="O101" s="1034"/>
      <c r="P101" s="1034"/>
      <c r="Q101" s="1034"/>
      <c r="R101" s="1034"/>
    </row>
  </sheetData>
  <mergeCells count="10">
    <mergeCell ref="B92:F92"/>
    <mergeCell ref="B93:F93"/>
    <mergeCell ref="B94:F94"/>
    <mergeCell ref="B95:F95"/>
    <mergeCell ref="K95:L95"/>
    <mergeCell ref="B98:F98"/>
    <mergeCell ref="B99:F99"/>
    <mergeCell ref="B96:F96"/>
    <mergeCell ref="B97:F97"/>
    <mergeCell ref="B101:R101"/>
  </mergeCells>
  <phoneticPr fontId="14" type="noConversion"/>
  <pageMargins left="0.25" right="0.25" top="0.75" bottom="0.75" header="0.3" footer="0.3"/>
  <pageSetup scale="77" fitToHeight="0" orientation="landscape" r:id="rId1"/>
  <headerFooter alignWithMargins="0">
    <oddHeader>&amp;CTuition and Transportation SY 20-21  FY 22
30430000 600 500930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629"/>
  <sheetViews>
    <sheetView topLeftCell="A563" zoomScaleNormal="100" workbookViewId="0">
      <selection activeCell="A612" sqref="A612:F629"/>
    </sheetView>
  </sheetViews>
  <sheetFormatPr defaultRowHeight="13.2" x14ac:dyDescent="0.25"/>
  <cols>
    <col min="1" max="1" width="34" bestFit="1" customWidth="1"/>
    <col min="2" max="2" width="14.44140625" bestFit="1" customWidth="1"/>
    <col min="3" max="3" width="13.88671875" bestFit="1" customWidth="1"/>
    <col min="4" max="4" width="15.44140625" bestFit="1" customWidth="1"/>
    <col min="5" max="5" width="13" customWidth="1"/>
    <col min="6" max="6" width="12.33203125" bestFit="1" customWidth="1"/>
    <col min="7" max="7" width="14.33203125" style="495" bestFit="1" customWidth="1"/>
    <col min="8" max="8" width="15.44140625" style="495" bestFit="1" customWidth="1"/>
    <col min="9" max="9" width="15.44140625" style="495" customWidth="1"/>
  </cols>
  <sheetData>
    <row r="1" spans="1:13" s="247" customFormat="1" ht="15.6" x14ac:dyDescent="0.3">
      <c r="A1" s="1051" t="s">
        <v>528</v>
      </c>
      <c r="B1" s="1052"/>
      <c r="C1" s="1052"/>
      <c r="D1" s="1052"/>
      <c r="E1" s="1052"/>
      <c r="F1" s="1053"/>
      <c r="G1" s="601"/>
      <c r="H1" s="602"/>
      <c r="I1" s="495"/>
      <c r="J1" s="182"/>
      <c r="K1" s="182"/>
      <c r="L1" s="182"/>
      <c r="M1" s="182"/>
    </row>
    <row r="2" spans="1:13" s="247" customFormat="1" ht="15.6" x14ac:dyDescent="0.3">
      <c r="A2" s="1054" t="s">
        <v>855</v>
      </c>
      <c r="B2" s="1055"/>
      <c r="C2" s="1055"/>
      <c r="D2" s="1055"/>
      <c r="E2" s="1055"/>
      <c r="F2" s="1056"/>
      <c r="G2" s="601"/>
      <c r="H2" s="602"/>
      <c r="I2" s="495"/>
      <c r="J2" s="182"/>
      <c r="K2" s="182"/>
      <c r="L2" s="182"/>
      <c r="M2" s="182"/>
    </row>
    <row r="3" spans="1:13" s="247" customFormat="1" x14ac:dyDescent="0.25">
      <c r="A3" s="1037" t="s">
        <v>513</v>
      </c>
      <c r="B3" s="1038"/>
      <c r="C3" s="150"/>
      <c r="D3" s="150"/>
      <c r="E3" s="150"/>
      <c r="F3" s="406"/>
      <c r="G3" s="485"/>
      <c r="H3" s="495"/>
      <c r="I3" s="495"/>
      <c r="J3" s="182"/>
      <c r="K3" s="182"/>
      <c r="L3" s="182"/>
      <c r="M3" s="182"/>
    </row>
    <row r="4" spans="1:13" s="247" customFormat="1" ht="14.4" x14ac:dyDescent="0.3">
      <c r="A4" s="407"/>
      <c r="B4" s="353"/>
      <c r="C4" s="354" t="s">
        <v>514</v>
      </c>
      <c r="D4" s="355" t="s">
        <v>515</v>
      </c>
      <c r="E4" s="392"/>
      <c r="F4" s="587"/>
      <c r="G4" s="590"/>
      <c r="H4" s="388"/>
      <c r="I4" s="495"/>
      <c r="J4" s="182"/>
      <c r="K4" s="182"/>
      <c r="L4" s="182"/>
      <c r="M4" s="182"/>
    </row>
    <row r="5" spans="1:13" s="247" customFormat="1" ht="14.4" x14ac:dyDescent="0.3">
      <c r="A5" s="407"/>
      <c r="B5" s="353"/>
      <c r="C5" s="356" t="s">
        <v>516</v>
      </c>
      <c r="D5" s="357" t="s">
        <v>517</v>
      </c>
      <c r="E5" s="393"/>
      <c r="F5" s="588"/>
      <c r="G5" s="591"/>
      <c r="H5" s="390"/>
      <c r="I5" s="495"/>
      <c r="J5" s="182"/>
      <c r="K5" s="182"/>
      <c r="L5" s="182"/>
      <c r="M5" s="182"/>
    </row>
    <row r="6" spans="1:13" s="247" customFormat="1" ht="14.4" x14ac:dyDescent="0.3">
      <c r="A6" s="134" t="s">
        <v>3</v>
      </c>
      <c r="B6" s="408"/>
      <c r="C6" s="384">
        <f>'TT entry &amp; transportation'!$K$3</f>
        <v>23.166650000000001</v>
      </c>
      <c r="D6" s="358">
        <f>C6*$B$8</f>
        <v>86327.53</v>
      </c>
      <c r="E6" s="174"/>
      <c r="F6" s="176"/>
      <c r="G6" s="592"/>
      <c r="H6" s="593"/>
      <c r="I6" s="599"/>
      <c r="J6" s="133"/>
      <c r="K6" s="133"/>
      <c r="L6" s="133"/>
      <c r="M6" s="133"/>
    </row>
    <row r="7" spans="1:13" s="247" customFormat="1" ht="14.4" x14ac:dyDescent="0.3">
      <c r="A7" s="1045" t="s">
        <v>518</v>
      </c>
      <c r="B7" s="1046"/>
      <c r="C7" s="360">
        <f>SUM(C6:C6)</f>
        <v>23.166650000000001</v>
      </c>
      <c r="D7" s="361">
        <f>SUM(D6:D6)</f>
        <v>86327.53</v>
      </c>
      <c r="E7" s="424" t="s">
        <v>1</v>
      </c>
      <c r="F7" s="589"/>
      <c r="G7" s="424" t="s">
        <v>532</v>
      </c>
      <c r="H7" s="425"/>
      <c r="I7" s="425">
        <f>'TT entry &amp; transportation'!$M$4</f>
        <v>86327.53</v>
      </c>
      <c r="J7" s="133"/>
      <c r="K7" s="133"/>
      <c r="L7" s="133"/>
      <c r="M7" s="133"/>
    </row>
    <row r="8" spans="1:13" s="182" customFormat="1" x14ac:dyDescent="0.25">
      <c r="A8" s="409" t="s">
        <v>596</v>
      </c>
      <c r="B8" s="448">
        <f>'TT entry &amp; transportation'!$B$266</f>
        <v>3726.3709260000001</v>
      </c>
      <c r="C8" s="385" t="s">
        <v>1</v>
      </c>
      <c r="D8" s="175"/>
      <c r="E8" s="427" t="s">
        <v>1</v>
      </c>
      <c r="F8" s="176"/>
      <c r="G8" s="424" t="s">
        <v>533</v>
      </c>
      <c r="H8" s="175"/>
      <c r="I8" s="425">
        <f>'TT entry &amp; transportation'!$M$4</f>
        <v>86327.53</v>
      </c>
      <c r="J8" s="133"/>
      <c r="K8" s="133"/>
      <c r="L8" s="133"/>
      <c r="M8" s="133"/>
    </row>
    <row r="9" spans="1:13" s="182" customFormat="1" ht="14.4" x14ac:dyDescent="0.3">
      <c r="A9" s="410"/>
      <c r="B9" s="411"/>
      <c r="C9" s="175"/>
      <c r="D9" s="175"/>
      <c r="E9" s="175"/>
      <c r="F9" s="176"/>
      <c r="G9" s="174"/>
      <c r="H9" s="175"/>
      <c r="I9" s="363"/>
      <c r="J9" s="133"/>
      <c r="K9" s="133"/>
      <c r="L9" s="133"/>
      <c r="M9" s="133"/>
    </row>
    <row r="10" spans="1:13" s="247" customFormat="1" ht="14.4" x14ac:dyDescent="0.3">
      <c r="A10" s="1049" t="s">
        <v>523</v>
      </c>
      <c r="B10" s="1050"/>
      <c r="C10" s="412">
        <v>0</v>
      </c>
      <c r="D10" s="150"/>
      <c r="E10" s="427" t="s">
        <v>1</v>
      </c>
      <c r="F10" s="406"/>
      <c r="G10" s="424" t="s">
        <v>533</v>
      </c>
      <c r="H10" s="495"/>
      <c r="I10" s="425">
        <f>'Payment T&amp;T LAWSON'!M5</f>
        <v>0</v>
      </c>
      <c r="J10" s="182"/>
      <c r="K10" s="182"/>
      <c r="L10" s="182"/>
      <c r="M10" s="182"/>
    </row>
    <row r="11" spans="1:13" s="247" customFormat="1" x14ac:dyDescent="0.25">
      <c r="A11" s="413"/>
      <c r="B11" s="150"/>
      <c r="C11" s="150"/>
      <c r="D11" s="150"/>
      <c r="E11" s="150"/>
      <c r="F11" s="406"/>
      <c r="G11" s="485"/>
      <c r="H11" s="495"/>
      <c r="I11" s="495"/>
      <c r="J11" s="182"/>
      <c r="K11" s="182"/>
      <c r="L11" s="182"/>
      <c r="M11" s="182"/>
    </row>
    <row r="12" spans="1:13" s="247" customFormat="1" ht="14.4" x14ac:dyDescent="0.3">
      <c r="A12" s="1049" t="s">
        <v>524</v>
      </c>
      <c r="B12" s="1050"/>
      <c r="C12" s="371" t="s">
        <v>1</v>
      </c>
      <c r="D12" s="372" t="s">
        <v>1</v>
      </c>
      <c r="E12" s="150"/>
      <c r="F12" s="406"/>
      <c r="G12" s="485"/>
      <c r="H12" s="495"/>
      <c r="I12" s="495"/>
      <c r="J12" s="182"/>
      <c r="K12" s="182"/>
      <c r="L12" s="182"/>
      <c r="M12" s="182"/>
    </row>
    <row r="13" spans="1:13" s="247" customFormat="1" x14ac:dyDescent="0.25">
      <c r="A13" s="413"/>
      <c r="B13" s="150"/>
      <c r="C13" s="373">
        <f>D7</f>
        <v>86327.53</v>
      </c>
      <c r="D13" s="374" t="s">
        <v>167</v>
      </c>
      <c r="E13" s="150"/>
      <c r="F13" s="406"/>
      <c r="G13" s="485"/>
      <c r="H13" s="495"/>
      <c r="I13" s="495"/>
      <c r="J13" s="182"/>
      <c r="K13" s="182"/>
      <c r="L13" s="182"/>
      <c r="M13" s="182"/>
    </row>
    <row r="14" spans="1:13" s="247" customFormat="1" ht="14.4" x14ac:dyDescent="0.3">
      <c r="A14" s="414" t="s">
        <v>1</v>
      </c>
      <c r="B14" s="375"/>
      <c r="C14" s="386">
        <f>C10</f>
        <v>0</v>
      </c>
      <c r="D14" s="377" t="s">
        <v>526</v>
      </c>
      <c r="E14" s="150"/>
      <c r="F14" s="406"/>
      <c r="G14" s="485"/>
      <c r="H14" s="495"/>
      <c r="I14" s="495"/>
      <c r="J14" s="182"/>
      <c r="K14" s="182"/>
      <c r="L14" s="182"/>
      <c r="M14" s="182"/>
    </row>
    <row r="15" spans="1:13" s="247" customFormat="1" ht="14.4" x14ac:dyDescent="0.3">
      <c r="A15" s="1045" t="s">
        <v>527</v>
      </c>
      <c r="B15" s="1046"/>
      <c r="C15" s="1059">
        <f>SUM(C13:C14)</f>
        <v>86327.53</v>
      </c>
      <c r="D15" s="1059"/>
      <c r="E15" s="427" t="s">
        <v>1</v>
      </c>
      <c r="F15" s="406"/>
      <c r="G15" s="424" t="s">
        <v>533</v>
      </c>
      <c r="H15" s="495"/>
      <c r="I15" s="425">
        <f>'Payment T&amp;T LAWSON'!$N$5</f>
        <v>86327.53</v>
      </c>
      <c r="J15" s="182"/>
      <c r="K15" s="182"/>
      <c r="L15" s="182"/>
      <c r="M15" s="182"/>
    </row>
    <row r="16" spans="1:13" x14ac:dyDescent="0.25">
      <c r="A16" s="415"/>
      <c r="B16" s="372"/>
      <c r="C16" s="372"/>
      <c r="D16" s="372"/>
      <c r="E16" s="372"/>
      <c r="F16" s="416"/>
      <c r="G16" s="485"/>
    </row>
    <row r="17" spans="1:13" s="247" customFormat="1" x14ac:dyDescent="0.25">
      <c r="G17" s="495"/>
      <c r="H17" s="495"/>
      <c r="I17" s="495"/>
    </row>
    <row r="18" spans="1:13" s="247" customFormat="1" x14ac:dyDescent="0.25">
      <c r="G18" s="495"/>
      <c r="H18" s="495"/>
      <c r="I18" s="495"/>
    </row>
    <row r="19" spans="1:13" s="247" customFormat="1" ht="15.6" x14ac:dyDescent="0.3">
      <c r="A19" s="1051" t="s">
        <v>529</v>
      </c>
      <c r="B19" s="1052"/>
      <c r="C19" s="1052"/>
      <c r="D19" s="1052"/>
      <c r="E19" s="1052"/>
      <c r="F19" s="1053"/>
      <c r="G19" s="601"/>
      <c r="H19" s="602"/>
      <c r="I19" s="495"/>
      <c r="J19" s="182"/>
      <c r="K19" s="182"/>
      <c r="L19" s="182"/>
      <c r="M19" s="182"/>
    </row>
    <row r="20" spans="1:13" s="247" customFormat="1" ht="15.6" x14ac:dyDescent="0.3">
      <c r="A20" s="1054" t="str">
        <f>$A$2</f>
        <v xml:space="preserve">School Year 2020-2021 </v>
      </c>
      <c r="B20" s="1055"/>
      <c r="C20" s="1055"/>
      <c r="D20" s="1055"/>
      <c r="E20" s="1055"/>
      <c r="F20" s="1056"/>
      <c r="G20" s="601"/>
      <c r="H20" s="602"/>
      <c r="I20" s="495"/>
      <c r="J20" s="182"/>
      <c r="K20" s="182"/>
      <c r="L20" s="182"/>
      <c r="M20" s="182"/>
    </row>
    <row r="21" spans="1:13" s="247" customFormat="1" x14ac:dyDescent="0.25">
      <c r="A21" s="1037" t="s">
        <v>513</v>
      </c>
      <c r="B21" s="1038"/>
      <c r="C21" s="150"/>
      <c r="D21" s="150"/>
      <c r="E21" s="150"/>
      <c r="F21" s="406"/>
      <c r="G21" s="485"/>
      <c r="H21" s="495"/>
      <c r="I21" s="495"/>
      <c r="J21" s="182"/>
      <c r="K21" s="182"/>
      <c r="L21" s="182"/>
      <c r="M21" s="182"/>
    </row>
    <row r="22" spans="1:13" s="247" customFormat="1" ht="14.4" x14ac:dyDescent="0.3">
      <c r="A22" s="407"/>
      <c r="B22" s="353"/>
      <c r="C22" s="354" t="s">
        <v>514</v>
      </c>
      <c r="D22" s="584" t="s">
        <v>515</v>
      </c>
      <c r="E22" s="392"/>
      <c r="F22" s="587"/>
      <c r="G22" s="590"/>
      <c r="H22" s="388"/>
      <c r="I22" s="495"/>
      <c r="J22" s="182"/>
      <c r="K22" s="182"/>
      <c r="L22" s="182"/>
      <c r="M22" s="182"/>
    </row>
    <row r="23" spans="1:13" s="247" customFormat="1" ht="14.4" x14ac:dyDescent="0.3">
      <c r="A23" s="407"/>
      <c r="B23" s="353"/>
      <c r="C23" s="356" t="s">
        <v>516</v>
      </c>
      <c r="D23" s="585" t="s">
        <v>517</v>
      </c>
      <c r="E23" s="393"/>
      <c r="F23" s="588"/>
      <c r="G23" s="591"/>
      <c r="H23" s="390"/>
      <c r="I23" s="495"/>
      <c r="J23" s="182"/>
      <c r="K23" s="182"/>
      <c r="L23" s="182"/>
      <c r="M23" s="182"/>
    </row>
    <row r="24" spans="1:13" s="247" customFormat="1" hidden="1" x14ac:dyDescent="0.25">
      <c r="A24" s="134" t="s">
        <v>501</v>
      </c>
      <c r="B24" s="408"/>
      <c r="C24" s="614">
        <f>'TT entry &amp; transportation'!$K$5</f>
        <v>0</v>
      </c>
      <c r="D24" s="615">
        <f>'TT entry &amp; transportation'!$L$5</f>
        <v>0</v>
      </c>
      <c r="E24" s="174"/>
      <c r="F24" s="176"/>
      <c r="G24" s="592"/>
      <c r="H24" s="593"/>
      <c r="I24" s="599"/>
      <c r="J24" s="133"/>
      <c r="K24" s="133"/>
      <c r="L24" s="133"/>
      <c r="M24" s="133"/>
    </row>
    <row r="25" spans="1:13" s="247" customFormat="1" hidden="1" x14ac:dyDescent="0.25">
      <c r="A25" s="134" t="s">
        <v>335</v>
      </c>
      <c r="B25" s="408"/>
      <c r="C25" s="616">
        <f>'TT entry &amp; transportation'!$K$7</f>
        <v>0</v>
      </c>
      <c r="D25" s="617">
        <f>'TT entry &amp; transportation'!$L$7</f>
        <v>0</v>
      </c>
      <c r="E25" s="174"/>
      <c r="F25" s="176"/>
      <c r="G25" s="592"/>
      <c r="H25" s="593"/>
      <c r="I25" s="599"/>
      <c r="J25" s="133"/>
      <c r="K25" s="133"/>
      <c r="L25" s="133"/>
      <c r="M25" s="133"/>
    </row>
    <row r="26" spans="1:13" s="247" customFormat="1" x14ac:dyDescent="0.25">
      <c r="A26" s="130" t="s">
        <v>8</v>
      </c>
      <c r="B26" s="408"/>
      <c r="C26" s="618">
        <f>'TT entry &amp; transportation'!K8</f>
        <v>3</v>
      </c>
      <c r="D26" s="617">
        <f>'TT entry &amp; transportation'!L8</f>
        <v>11179.112778000001</v>
      </c>
      <c r="E26" s="130" t="s">
        <v>1</v>
      </c>
      <c r="F26" s="176"/>
      <c r="G26" s="594"/>
      <c r="H26" s="593"/>
      <c r="I26" s="599"/>
      <c r="J26" s="133"/>
      <c r="K26" s="133"/>
      <c r="L26" s="133"/>
      <c r="M26" s="133"/>
    </row>
    <row r="27" spans="1:13" s="487" customFormat="1" hidden="1" x14ac:dyDescent="0.25">
      <c r="A27" s="130" t="s">
        <v>642</v>
      </c>
      <c r="B27" s="408"/>
      <c r="C27" s="619">
        <f>'TT entry &amp; transportation'!K9</f>
        <v>0</v>
      </c>
      <c r="D27" s="620">
        <f>'TT entry &amp; transportation'!L9</f>
        <v>0</v>
      </c>
      <c r="E27" s="130"/>
      <c r="F27" s="176"/>
      <c r="G27" s="594"/>
      <c r="H27" s="593"/>
      <c r="I27" s="599"/>
      <c r="J27" s="494"/>
      <c r="K27" s="494"/>
      <c r="L27" s="494"/>
      <c r="M27" s="494"/>
    </row>
    <row r="28" spans="1:13" s="247" customFormat="1" ht="14.4" x14ac:dyDescent="0.3">
      <c r="A28" s="1045" t="s">
        <v>518</v>
      </c>
      <c r="B28" s="1046"/>
      <c r="C28" s="360">
        <f>SUM(C24:C27)</f>
        <v>3</v>
      </c>
      <c r="D28" s="387">
        <f>SUM(D24:D27)</f>
        <v>11179.11</v>
      </c>
      <c r="E28" s="424"/>
      <c r="F28" s="589"/>
      <c r="G28" s="424" t="s">
        <v>532</v>
      </c>
      <c r="H28" s="425"/>
      <c r="I28" s="425">
        <f>'TT entry &amp; transportation'!$M$11</f>
        <v>11179.11</v>
      </c>
      <c r="J28" s="133"/>
      <c r="K28" s="133"/>
      <c r="L28" s="133"/>
      <c r="M28" s="133"/>
    </row>
    <row r="29" spans="1:13" s="182" customFormat="1" x14ac:dyDescent="0.25">
      <c r="A29" s="409" t="s">
        <v>596</v>
      </c>
      <c r="B29" s="448">
        <f>'TT entry &amp; transportation'!$B$266</f>
        <v>3726.3709260000001</v>
      </c>
      <c r="C29" s="385" t="s">
        <v>1</v>
      </c>
      <c r="D29" s="175"/>
      <c r="E29" s="427"/>
      <c r="F29" s="176"/>
      <c r="G29" s="424" t="s">
        <v>533</v>
      </c>
      <c r="H29" s="175"/>
      <c r="I29" s="428">
        <f>'Payment T&amp;T LAWSON'!$I$7</f>
        <v>11179.11</v>
      </c>
      <c r="J29" s="133"/>
      <c r="K29" s="133"/>
      <c r="L29" s="133"/>
      <c r="M29" s="133"/>
    </row>
    <row r="30" spans="1:13" s="182" customFormat="1" ht="14.4" x14ac:dyDescent="0.3">
      <c r="A30" s="410"/>
      <c r="B30" s="411"/>
      <c r="C30" s="175"/>
      <c r="D30" s="175"/>
      <c r="E30" s="175"/>
      <c r="F30" s="176"/>
      <c r="G30" s="174"/>
      <c r="H30" s="175"/>
      <c r="I30" s="363"/>
      <c r="J30" s="133"/>
      <c r="K30" s="133"/>
      <c r="L30" s="133"/>
      <c r="M30" s="133"/>
    </row>
    <row r="31" spans="1:13" s="247" customFormat="1" ht="14.4" x14ac:dyDescent="0.3">
      <c r="A31" s="1049" t="s">
        <v>523</v>
      </c>
      <c r="B31" s="1050"/>
      <c r="C31" s="412">
        <f>'CTE TRANS'!$AL$8</f>
        <v>7343</v>
      </c>
      <c r="D31" s="150"/>
      <c r="E31" s="427"/>
      <c r="F31" s="406"/>
      <c r="G31" s="424" t="s">
        <v>533</v>
      </c>
      <c r="H31" s="495"/>
      <c r="I31" s="425">
        <f>'Payment T&amp;T LAWSON'!$K$7</f>
        <v>7343</v>
      </c>
      <c r="J31" s="182"/>
      <c r="K31" s="182"/>
      <c r="L31" s="182"/>
      <c r="M31" s="182"/>
    </row>
    <row r="32" spans="1:13" s="247" customFormat="1" x14ac:dyDescent="0.25">
      <c r="A32" s="413"/>
      <c r="B32" s="150"/>
      <c r="C32" s="150"/>
      <c r="D32" s="150"/>
      <c r="E32" s="150"/>
      <c r="F32" s="406"/>
      <c r="G32" s="485"/>
      <c r="H32" s="495"/>
      <c r="I32" s="495"/>
      <c r="J32" s="182"/>
      <c r="K32" s="182"/>
      <c r="L32" s="182"/>
      <c r="M32" s="182"/>
    </row>
    <row r="33" spans="1:13" s="247" customFormat="1" ht="14.4" x14ac:dyDescent="0.3">
      <c r="A33" s="1049" t="s">
        <v>524</v>
      </c>
      <c r="B33" s="1050"/>
      <c r="C33" s="371" t="s">
        <v>1</v>
      </c>
      <c r="D33" s="372" t="s">
        <v>1</v>
      </c>
      <c r="E33" s="150"/>
      <c r="F33" s="406"/>
      <c r="G33" s="485"/>
      <c r="H33" s="495"/>
      <c r="I33" s="495"/>
      <c r="J33" s="182"/>
      <c r="K33" s="182"/>
      <c r="L33" s="182"/>
      <c r="M33" s="182"/>
    </row>
    <row r="34" spans="1:13" s="247" customFormat="1" x14ac:dyDescent="0.25">
      <c r="A34" s="413"/>
      <c r="B34" s="150"/>
      <c r="C34" s="373">
        <f>D28</f>
        <v>11179.11</v>
      </c>
      <c r="D34" s="374" t="s">
        <v>167</v>
      </c>
      <c r="E34" s="150"/>
      <c r="F34" s="406"/>
      <c r="G34" s="485"/>
      <c r="H34" s="495"/>
      <c r="I34" s="495"/>
      <c r="J34" s="182"/>
      <c r="K34" s="182"/>
      <c r="L34" s="182"/>
      <c r="M34" s="182"/>
    </row>
    <row r="35" spans="1:13" s="247" customFormat="1" ht="14.4" x14ac:dyDescent="0.3">
      <c r="A35" s="414" t="s">
        <v>1</v>
      </c>
      <c r="B35" s="375"/>
      <c r="C35" s="386">
        <f>C31</f>
        <v>7343</v>
      </c>
      <c r="D35" s="377" t="s">
        <v>526</v>
      </c>
      <c r="E35" s="150"/>
      <c r="F35" s="406"/>
      <c r="G35" s="485"/>
      <c r="H35" s="495"/>
      <c r="I35" s="495"/>
      <c r="J35" s="182"/>
      <c r="K35" s="182"/>
      <c r="L35" s="182"/>
      <c r="M35" s="182"/>
    </row>
    <row r="36" spans="1:13" s="247" customFormat="1" ht="14.4" x14ac:dyDescent="0.3">
      <c r="A36" s="1045" t="s">
        <v>527</v>
      </c>
      <c r="B36" s="1046"/>
      <c r="C36" s="1059">
        <f>SUM(C34:C35)</f>
        <v>18522.11</v>
      </c>
      <c r="D36" s="1059"/>
      <c r="E36" s="427"/>
      <c r="F36" s="406"/>
      <c r="G36" s="424" t="s">
        <v>533</v>
      </c>
      <c r="H36" s="495"/>
      <c r="I36" s="425">
        <f>'Payment T&amp;T LAWSON'!$N$7</f>
        <v>18522.11</v>
      </c>
      <c r="J36" s="182"/>
      <c r="K36" s="182"/>
      <c r="L36" s="182"/>
      <c r="M36" s="182"/>
    </row>
    <row r="37" spans="1:13" s="182" customFormat="1" ht="14.4" x14ac:dyDescent="0.3">
      <c r="A37" s="417"/>
      <c r="B37" s="418"/>
      <c r="C37" s="419"/>
      <c r="D37" s="419"/>
      <c r="E37" s="420"/>
      <c r="F37" s="421"/>
      <c r="G37" s="485"/>
      <c r="H37" s="495"/>
      <c r="I37" s="495"/>
    </row>
    <row r="38" spans="1:13" s="182" customFormat="1" ht="14.4" x14ac:dyDescent="0.3">
      <c r="A38" s="422"/>
      <c r="B38" s="422"/>
      <c r="C38" s="378"/>
      <c r="D38" s="378"/>
      <c r="E38" s="157"/>
      <c r="F38" s="157"/>
      <c r="G38" s="495"/>
      <c r="H38" s="495"/>
      <c r="I38" s="495"/>
    </row>
    <row r="40" spans="1:13" s="247" customFormat="1" ht="15.6" x14ac:dyDescent="0.3">
      <c r="A40" s="1051" t="s">
        <v>512</v>
      </c>
      <c r="B40" s="1052"/>
      <c r="C40" s="1052"/>
      <c r="D40" s="1052"/>
      <c r="E40" s="1052"/>
      <c r="F40" s="1053"/>
      <c r="G40" s="945" t="s">
        <v>875</v>
      </c>
      <c r="H40" s="945"/>
      <c r="I40" s="944" t="s">
        <v>873</v>
      </c>
      <c r="J40" s="182"/>
      <c r="K40" s="182"/>
      <c r="L40" s="182"/>
      <c r="M40" s="182"/>
    </row>
    <row r="41" spans="1:13" s="247" customFormat="1" ht="15.6" x14ac:dyDescent="0.3">
      <c r="A41" s="1054" t="str">
        <f>$A$2</f>
        <v xml:space="preserve">School Year 2020-2021 </v>
      </c>
      <c r="B41" s="1055"/>
      <c r="C41" s="1055"/>
      <c r="D41" s="1055"/>
      <c r="E41" s="1055"/>
      <c r="F41" s="1056"/>
      <c r="G41" s="945" t="s">
        <v>893</v>
      </c>
      <c r="H41" s="945"/>
      <c r="I41" s="603" t="s">
        <v>874</v>
      </c>
      <c r="J41" s="182"/>
      <c r="K41" s="182"/>
      <c r="L41" s="182"/>
      <c r="M41" s="182"/>
    </row>
    <row r="42" spans="1:13" s="247" customFormat="1" x14ac:dyDescent="0.25">
      <c r="A42" s="1037" t="s">
        <v>513</v>
      </c>
      <c r="B42" s="1038"/>
      <c r="C42" s="150"/>
      <c r="D42" s="150"/>
      <c r="E42" s="150"/>
      <c r="F42" s="406"/>
      <c r="G42" s="495"/>
      <c r="H42" s="495"/>
      <c r="I42" s="495" t="s">
        <v>571</v>
      </c>
      <c r="J42" s="182"/>
      <c r="K42" s="182"/>
      <c r="L42" s="182"/>
      <c r="M42" s="182"/>
    </row>
    <row r="43" spans="1:13" s="247" customFormat="1" ht="14.4" x14ac:dyDescent="0.3">
      <c r="A43" s="407"/>
      <c r="B43" s="353"/>
      <c r="C43" s="354" t="s">
        <v>514</v>
      </c>
      <c r="D43" s="355" t="s">
        <v>515</v>
      </c>
      <c r="E43" s="392"/>
      <c r="F43" s="587"/>
      <c r="G43" s="388"/>
      <c r="H43" s="388"/>
      <c r="I43" s="603" t="s">
        <v>1</v>
      </c>
      <c r="J43" s="182"/>
      <c r="K43" s="182"/>
      <c r="L43" s="182"/>
      <c r="M43" s="182"/>
    </row>
    <row r="44" spans="1:13" s="247" customFormat="1" ht="14.4" x14ac:dyDescent="0.3">
      <c r="A44" s="407"/>
      <c r="B44" s="353"/>
      <c r="C44" s="356" t="s">
        <v>516</v>
      </c>
      <c r="D44" s="357" t="s">
        <v>517</v>
      </c>
      <c r="E44" s="393"/>
      <c r="F44" s="588"/>
      <c r="G44" s="390"/>
      <c r="H44" s="390"/>
      <c r="I44" s="495"/>
      <c r="J44" s="182"/>
      <c r="K44" s="182"/>
      <c r="L44" s="182"/>
      <c r="M44" s="182"/>
    </row>
    <row r="45" spans="1:13" s="247" customFormat="1" ht="14.4" x14ac:dyDescent="0.3">
      <c r="A45" s="134" t="s">
        <v>337</v>
      </c>
      <c r="B45" s="408"/>
      <c r="C45" s="443">
        <f>'TT entry &amp; transportation'!$K$12</f>
        <v>82.666650000000004</v>
      </c>
      <c r="D45" s="444">
        <f>C45*$B$54</f>
        <v>308046.59999999998</v>
      </c>
      <c r="E45" s="174"/>
      <c r="F45" s="176"/>
      <c r="G45" s="1063" t="s">
        <v>1</v>
      </c>
      <c r="H45" s="1064"/>
      <c r="I45" s="599"/>
      <c r="J45" s="133"/>
      <c r="K45" s="133"/>
      <c r="L45" s="133"/>
      <c r="M45" s="133"/>
    </row>
    <row r="46" spans="1:13" s="247" customFormat="1" ht="14.4" x14ac:dyDescent="0.3">
      <c r="A46" s="134" t="s">
        <v>338</v>
      </c>
      <c r="B46" s="408"/>
      <c r="C46" s="445">
        <f>'TT entry &amp; transportation'!$K$13</f>
        <v>11.166700000000001</v>
      </c>
      <c r="D46" s="446">
        <f t="shared" ref="D46:D52" si="0">C46*$B$54</f>
        <v>41611.269999999997</v>
      </c>
      <c r="E46" s="174"/>
      <c r="F46" s="176"/>
      <c r="G46" s="363"/>
      <c r="H46" s="595"/>
      <c r="I46" s="599"/>
      <c r="J46" s="133"/>
      <c r="K46" s="133"/>
      <c r="L46" s="133"/>
      <c r="M46" s="133"/>
    </row>
    <row r="47" spans="1:13" s="247" customFormat="1" ht="14.4" x14ac:dyDescent="0.3">
      <c r="A47" s="134" t="s">
        <v>339</v>
      </c>
      <c r="B47" s="408"/>
      <c r="C47" s="445">
        <f>'TT entry &amp; transportation'!$K$14</f>
        <v>27.5</v>
      </c>
      <c r="D47" s="446">
        <f t="shared" si="0"/>
        <v>102475.2</v>
      </c>
      <c r="E47" s="174"/>
      <c r="F47" s="176"/>
      <c r="G47" s="363"/>
      <c r="H47" s="595"/>
      <c r="I47" s="599"/>
      <c r="J47" s="133"/>
      <c r="K47" s="133"/>
      <c r="L47" s="133"/>
      <c r="M47" s="133"/>
    </row>
    <row r="48" spans="1:13" s="247" customFormat="1" ht="14.4" x14ac:dyDescent="0.3">
      <c r="A48" s="134" t="s">
        <v>340</v>
      </c>
      <c r="B48" s="408"/>
      <c r="C48" s="445">
        <f>'TT entry &amp; transportation'!$K$15</f>
        <v>32</v>
      </c>
      <c r="D48" s="446">
        <f t="shared" si="0"/>
        <v>119243.87</v>
      </c>
      <c r="E48" s="174"/>
      <c r="F48" s="176"/>
      <c r="G48" s="363"/>
      <c r="H48" s="595"/>
      <c r="I48" s="599"/>
      <c r="J48" s="133"/>
      <c r="K48" s="133"/>
      <c r="L48" s="133"/>
      <c r="M48" s="133"/>
    </row>
    <row r="49" spans="1:13" s="247" customFormat="1" ht="14.4" x14ac:dyDescent="0.3">
      <c r="A49" s="134" t="s">
        <v>341</v>
      </c>
      <c r="B49" s="408"/>
      <c r="C49" s="445">
        <f>'TT entry &amp; transportation'!$K$16</f>
        <v>15.166700000000001</v>
      </c>
      <c r="D49" s="446">
        <f t="shared" si="0"/>
        <v>56516.75</v>
      </c>
      <c r="E49" s="174"/>
      <c r="F49" s="176"/>
      <c r="G49" s="363"/>
      <c r="H49" s="595"/>
      <c r="I49" s="599"/>
      <c r="J49" s="133"/>
      <c r="K49" s="133"/>
      <c r="L49" s="133"/>
      <c r="M49" s="133"/>
    </row>
    <row r="50" spans="1:13" s="247" customFormat="1" ht="14.4" x14ac:dyDescent="0.3">
      <c r="A50" s="134" t="s">
        <v>342</v>
      </c>
      <c r="B50" s="408"/>
      <c r="C50" s="445">
        <f>'TT entry &amp; transportation'!$K$17</f>
        <v>112.00005</v>
      </c>
      <c r="D50" s="446">
        <f t="shared" si="0"/>
        <v>417353.73</v>
      </c>
      <c r="E50" s="174"/>
      <c r="F50" s="176"/>
      <c r="G50" s="363"/>
      <c r="H50" s="595"/>
      <c r="I50" s="599"/>
      <c r="J50" s="133"/>
      <c r="K50" s="133"/>
      <c r="L50" s="133"/>
      <c r="M50" s="133"/>
    </row>
    <row r="51" spans="1:13" s="247" customFormat="1" ht="14.4" x14ac:dyDescent="0.3">
      <c r="A51" s="134" t="s">
        <v>343</v>
      </c>
      <c r="B51" s="408"/>
      <c r="C51" s="445">
        <f>'TT entry &amp; transportation'!$K$19</f>
        <v>77.833349999999996</v>
      </c>
      <c r="D51" s="446">
        <f t="shared" si="0"/>
        <v>290035.93</v>
      </c>
      <c r="E51" s="174"/>
      <c r="F51" s="176"/>
      <c r="G51" s="363"/>
      <c r="H51" s="595"/>
      <c r="I51" s="599"/>
      <c r="J51" s="133"/>
      <c r="K51" s="133"/>
      <c r="L51" s="133"/>
      <c r="M51" s="133"/>
    </row>
    <row r="52" spans="1:13" s="247" customFormat="1" ht="14.4" x14ac:dyDescent="0.3">
      <c r="A52" s="134" t="s">
        <v>344</v>
      </c>
      <c r="B52" s="408"/>
      <c r="C52" s="621">
        <f>'TT entry &amp; transportation'!$K$20</f>
        <v>15.666650000000001</v>
      </c>
      <c r="D52" s="447">
        <f t="shared" si="0"/>
        <v>58379.75</v>
      </c>
      <c r="E52" s="174"/>
      <c r="F52" s="176"/>
      <c r="G52" s="363"/>
      <c r="H52" s="595"/>
      <c r="I52" s="599"/>
      <c r="J52" s="133"/>
      <c r="K52" s="133"/>
      <c r="L52" s="133"/>
      <c r="M52" s="133"/>
    </row>
    <row r="53" spans="1:13" s="247" customFormat="1" ht="14.4" x14ac:dyDescent="0.3">
      <c r="A53" s="1045" t="s">
        <v>518</v>
      </c>
      <c r="B53" s="1062"/>
      <c r="C53" s="360">
        <f>SUM(C45:C52)</f>
        <v>374.00009999999997</v>
      </c>
      <c r="D53" s="361">
        <f>SUM(D45:D52)</f>
        <v>1393663.1</v>
      </c>
      <c r="E53" s="424" t="s">
        <v>1</v>
      </c>
      <c r="F53" s="589"/>
      <c r="G53" s="424" t="s">
        <v>532</v>
      </c>
      <c r="H53" s="425"/>
      <c r="I53" s="425">
        <f>'TT entry &amp; transportation'!$M$21</f>
        <v>1393663.1</v>
      </c>
      <c r="J53" s="133"/>
      <c r="K53" s="133"/>
      <c r="L53" s="133"/>
      <c r="M53" s="133"/>
    </row>
    <row r="54" spans="1:13" s="182" customFormat="1" ht="14.4" x14ac:dyDescent="0.3">
      <c r="A54" s="409" t="s">
        <v>596</v>
      </c>
      <c r="B54" s="448">
        <f>'TT entry &amp; transportation'!$B$266</f>
        <v>3726.3709260000001</v>
      </c>
      <c r="C54" s="175"/>
      <c r="D54" s="175"/>
      <c r="E54" s="427" t="s">
        <v>1</v>
      </c>
      <c r="F54" s="176"/>
      <c r="G54" s="427" t="s">
        <v>533</v>
      </c>
      <c r="H54" s="175"/>
      <c r="I54" s="430">
        <f>'Payment T&amp;T LAWSON'!$I$11</f>
        <v>1393663.1</v>
      </c>
      <c r="J54" s="133"/>
      <c r="K54" s="133"/>
      <c r="L54" s="133"/>
      <c r="M54" s="133"/>
    </row>
    <row r="55" spans="1:13" s="182" customFormat="1" ht="14.4" x14ac:dyDescent="0.3">
      <c r="A55" s="410"/>
      <c r="B55" s="411"/>
      <c r="C55" s="175"/>
      <c r="D55" s="175"/>
      <c r="E55" s="175"/>
      <c r="F55" s="176"/>
      <c r="G55" s="363"/>
      <c r="H55" s="595"/>
      <c r="I55" s="599"/>
      <c r="J55" s="133"/>
      <c r="K55" s="133"/>
      <c r="L55" s="133"/>
      <c r="M55" s="133"/>
    </row>
    <row r="56" spans="1:13" s="182" customFormat="1" ht="14.4" x14ac:dyDescent="0.3">
      <c r="A56" s="1057" t="s">
        <v>519</v>
      </c>
      <c r="B56" s="1058"/>
      <c r="C56" s="175"/>
      <c r="D56" s="175"/>
      <c r="E56" s="175"/>
      <c r="F56" s="176"/>
      <c r="G56" s="363"/>
      <c r="H56" s="595"/>
      <c r="I56" s="599"/>
      <c r="J56" s="133"/>
      <c r="K56" s="133"/>
      <c r="L56" s="133"/>
      <c r="M56" s="133"/>
    </row>
    <row r="57" spans="1:13" s="247" customFormat="1" ht="26.4" x14ac:dyDescent="0.25">
      <c r="A57" s="423"/>
      <c r="B57" s="364"/>
      <c r="C57" s="365" t="s">
        <v>520</v>
      </c>
      <c r="D57" s="606" t="s">
        <v>636</v>
      </c>
      <c r="E57" s="365" t="s">
        <v>521</v>
      </c>
      <c r="F57" s="368"/>
      <c r="G57" s="495"/>
      <c r="H57" s="497"/>
      <c r="I57" s="497"/>
      <c r="J57" s="182"/>
      <c r="K57" s="182"/>
      <c r="L57" s="182"/>
      <c r="M57" s="182"/>
    </row>
    <row r="58" spans="1:13" s="247" customFormat="1" ht="14.4" x14ac:dyDescent="0.3">
      <c r="A58" s="130" t="s">
        <v>337</v>
      </c>
      <c r="B58" s="366"/>
      <c r="C58" s="398">
        <f>Differential!$C$7</f>
        <v>165.33330000000001</v>
      </c>
      <c r="D58" s="367">
        <f>Differential!$D$6</f>
        <v>172.46</v>
      </c>
      <c r="E58" s="401">
        <f>C58*D58</f>
        <v>28513.38</v>
      </c>
      <c r="F58" s="596"/>
      <c r="G58" s="1065" t="s">
        <v>1</v>
      </c>
      <c r="H58" s="1064"/>
      <c r="I58" s="497"/>
      <c r="J58" s="182"/>
      <c r="K58" s="182"/>
      <c r="L58" s="182"/>
      <c r="M58" s="182"/>
    </row>
    <row r="59" spans="1:13" s="247" customFormat="1" x14ac:dyDescent="0.25">
      <c r="A59" s="130" t="s">
        <v>338</v>
      </c>
      <c r="B59" s="366"/>
      <c r="C59" s="399">
        <f>Differential!$C$15</f>
        <v>31.333300000000001</v>
      </c>
      <c r="D59" s="404">
        <f>Differential!$D$6</f>
        <v>172.46</v>
      </c>
      <c r="E59" s="402">
        <f>C59*D59</f>
        <v>5403.74</v>
      </c>
      <c r="F59" s="596"/>
      <c r="G59" s="495"/>
      <c r="H59" s="497"/>
      <c r="I59" s="497"/>
      <c r="J59" s="182"/>
      <c r="K59" s="182"/>
      <c r="L59" s="182"/>
      <c r="M59" s="182"/>
    </row>
    <row r="60" spans="1:13" s="247" customFormat="1" x14ac:dyDescent="0.25">
      <c r="A60" s="130" t="s">
        <v>339</v>
      </c>
      <c r="B60" s="366"/>
      <c r="C60" s="399">
        <f>Differential!$C$11</f>
        <v>30</v>
      </c>
      <c r="D60" s="404">
        <f>Differential!$D$6</f>
        <v>172.46</v>
      </c>
      <c r="E60" s="402">
        <f>C60*D60</f>
        <v>5173.8</v>
      </c>
      <c r="F60" s="596"/>
      <c r="G60" s="495"/>
      <c r="H60" s="497"/>
      <c r="I60" s="497"/>
      <c r="J60" s="182"/>
      <c r="K60" s="182"/>
      <c r="L60" s="182"/>
      <c r="M60" s="182"/>
    </row>
    <row r="61" spans="1:13" s="247" customFormat="1" x14ac:dyDescent="0.25">
      <c r="A61" s="130" t="s">
        <v>340</v>
      </c>
      <c r="B61" s="366"/>
      <c r="C61" s="399">
        <f>Differential!$C$14</f>
        <v>155.66669999999999</v>
      </c>
      <c r="D61" s="404">
        <f>Differential!$D$6</f>
        <v>172.46</v>
      </c>
      <c r="E61" s="402">
        <f>C61*D61</f>
        <v>26846.28</v>
      </c>
      <c r="F61" s="596"/>
      <c r="G61" s="495"/>
      <c r="H61" s="497"/>
      <c r="I61" s="497"/>
      <c r="J61" s="182"/>
      <c r="K61" s="182"/>
      <c r="L61" s="182"/>
      <c r="M61" s="182"/>
    </row>
    <row r="62" spans="1:13" s="247" customFormat="1" x14ac:dyDescent="0.25">
      <c r="A62" s="130" t="s">
        <v>341</v>
      </c>
      <c r="B62" s="366"/>
      <c r="C62" s="399">
        <f>Differential!$C$12</f>
        <v>224.0001</v>
      </c>
      <c r="D62" s="404">
        <f>Differential!$D$6</f>
        <v>172.46</v>
      </c>
      <c r="E62" s="402">
        <f>C62*D62</f>
        <v>38631.06</v>
      </c>
      <c r="F62" s="596"/>
      <c r="G62" s="495"/>
      <c r="H62" s="497"/>
      <c r="I62" s="497"/>
      <c r="J62" s="182"/>
      <c r="K62" s="182"/>
      <c r="L62" s="182"/>
      <c r="M62" s="182"/>
    </row>
    <row r="63" spans="1:13" s="247" customFormat="1" x14ac:dyDescent="0.25">
      <c r="A63" s="130" t="s">
        <v>342</v>
      </c>
      <c r="B63" s="366"/>
      <c r="C63" s="399">
        <f>Differential!$C$8</f>
        <v>22.333400000000001</v>
      </c>
      <c r="D63" s="404">
        <f>Differential!$D$6</f>
        <v>172.46</v>
      </c>
      <c r="E63" s="402">
        <f>C63*D63-0.01</f>
        <v>3851.61</v>
      </c>
      <c r="F63" s="596"/>
      <c r="G63" s="495"/>
      <c r="H63" s="497"/>
      <c r="I63" s="497"/>
      <c r="J63" s="182"/>
      <c r="K63" s="182"/>
      <c r="L63" s="182"/>
      <c r="M63" s="182"/>
    </row>
    <row r="64" spans="1:13" s="247" customFormat="1" ht="14.4" x14ac:dyDescent="0.3">
      <c r="A64" s="130" t="s">
        <v>343</v>
      </c>
      <c r="B64" s="366"/>
      <c r="C64" s="399">
        <f>Differential!$C$10</f>
        <v>64</v>
      </c>
      <c r="D64" s="404">
        <f>Differential!$D$6</f>
        <v>172.46</v>
      </c>
      <c r="E64" s="402">
        <f>C64*D64+0.01</f>
        <v>11037.45</v>
      </c>
      <c r="F64" s="596"/>
      <c r="G64" s="1065" t="s">
        <v>637</v>
      </c>
      <c r="H64" s="1064"/>
      <c r="I64" s="497"/>
      <c r="J64" s="182"/>
      <c r="K64" s="182"/>
      <c r="L64" s="182"/>
      <c r="M64" s="182"/>
    </row>
    <row r="65" spans="1:13" s="247" customFormat="1" x14ac:dyDescent="0.25">
      <c r="A65" s="130" t="s">
        <v>344</v>
      </c>
      <c r="B65" s="366"/>
      <c r="C65" s="400">
        <f>Differential!$C$9</f>
        <v>55</v>
      </c>
      <c r="D65" s="405">
        <f>Differential!$D$6</f>
        <v>172.46</v>
      </c>
      <c r="E65" s="403">
        <f>C65*D65</f>
        <v>9485.2999999999993</v>
      </c>
      <c r="F65" s="596"/>
      <c r="G65" s="495"/>
      <c r="H65" s="497"/>
      <c r="I65" s="497"/>
      <c r="J65" s="182"/>
      <c r="K65" s="182"/>
      <c r="L65" s="182"/>
      <c r="M65" s="182"/>
    </row>
    <row r="66" spans="1:13" s="247" customFormat="1" ht="14.4" x14ac:dyDescent="0.3">
      <c r="A66" s="1045" t="s">
        <v>522</v>
      </c>
      <c r="B66" s="1046"/>
      <c r="C66" s="397">
        <f>SUM(C58:C65)</f>
        <v>747.66679999999997</v>
      </c>
      <c r="D66" s="369"/>
      <c r="E66" s="370">
        <f>SUM(E58:E65)</f>
        <v>128942.62</v>
      </c>
      <c r="F66" s="598" t="s">
        <v>1</v>
      </c>
      <c r="G66" s="424" t="s">
        <v>534</v>
      </c>
      <c r="H66" s="425"/>
      <c r="I66" s="425">
        <f>Differential!F6</f>
        <v>128942.62</v>
      </c>
      <c r="J66" s="182"/>
      <c r="K66" s="182"/>
      <c r="L66" s="182"/>
      <c r="M66" s="182"/>
    </row>
    <row r="67" spans="1:13" s="247" customFormat="1" x14ac:dyDescent="0.25">
      <c r="A67" s="413"/>
      <c r="B67" s="150"/>
      <c r="C67" s="150"/>
      <c r="D67" s="150"/>
      <c r="E67" s="150"/>
      <c r="F67" s="597" t="s">
        <v>1</v>
      </c>
      <c r="G67" s="427" t="s">
        <v>533</v>
      </c>
      <c r="H67" s="495"/>
      <c r="I67" s="425">
        <f>'Payment T&amp;T LAWSON'!$J$11</f>
        <v>128942.62</v>
      </c>
      <c r="J67" s="182"/>
      <c r="K67" s="182"/>
      <c r="L67" s="182"/>
      <c r="M67" s="182"/>
    </row>
    <row r="68" spans="1:13" s="247" customFormat="1" ht="14.4" x14ac:dyDescent="0.3">
      <c r="A68" s="1049" t="s">
        <v>523</v>
      </c>
      <c r="B68" s="1050"/>
      <c r="C68" s="431">
        <f>'CTE TRANS'!$AL$9</f>
        <v>0</v>
      </c>
      <c r="D68" s="150"/>
      <c r="E68" s="150"/>
      <c r="F68" s="597" t="s">
        <v>1</v>
      </c>
      <c r="G68" s="427" t="s">
        <v>533</v>
      </c>
      <c r="H68" s="495"/>
      <c r="I68" s="430">
        <f>'Payment T&amp;T LAWSON'!$K$11</f>
        <v>0</v>
      </c>
      <c r="J68" s="182"/>
      <c r="K68" s="182"/>
      <c r="L68" s="182"/>
      <c r="M68" s="182"/>
    </row>
    <row r="69" spans="1:13" s="247" customFormat="1" x14ac:dyDescent="0.25">
      <c r="A69" s="413"/>
      <c r="B69" s="150"/>
      <c r="C69" s="150"/>
      <c r="D69" s="150"/>
      <c r="E69" s="150"/>
      <c r="F69" s="366"/>
      <c r="G69" s="495"/>
      <c r="H69" s="495"/>
      <c r="I69" s="495"/>
      <c r="J69" s="182"/>
      <c r="K69" s="182"/>
      <c r="L69" s="182"/>
      <c r="M69" s="182"/>
    </row>
    <row r="70" spans="1:13" s="247" customFormat="1" ht="14.4" x14ac:dyDescent="0.3">
      <c r="A70" s="1049" t="s">
        <v>524</v>
      </c>
      <c r="B70" s="1050"/>
      <c r="C70" s="371" t="s">
        <v>1</v>
      </c>
      <c r="D70" s="372" t="s">
        <v>1</v>
      </c>
      <c r="E70" s="150"/>
      <c r="F70" s="366"/>
      <c r="G70" s="495"/>
      <c r="H70" s="495"/>
      <c r="I70" s="495"/>
      <c r="J70" s="182"/>
      <c r="K70" s="182"/>
      <c r="L70" s="182"/>
      <c r="M70" s="182"/>
    </row>
    <row r="71" spans="1:13" s="247" customFormat="1" x14ac:dyDescent="0.25">
      <c r="A71" s="413"/>
      <c r="B71" s="150"/>
      <c r="C71" s="373">
        <f>D53</f>
        <v>1393663.1</v>
      </c>
      <c r="D71" s="374" t="s">
        <v>167</v>
      </c>
      <c r="E71" s="150"/>
      <c r="F71" s="366"/>
      <c r="G71" s="495"/>
      <c r="H71" s="495"/>
      <c r="I71" s="495"/>
      <c r="J71" s="182"/>
      <c r="K71" s="182"/>
      <c r="L71" s="182"/>
      <c r="M71" s="182"/>
    </row>
    <row r="72" spans="1:13" s="247" customFormat="1" x14ac:dyDescent="0.25">
      <c r="A72" s="413"/>
      <c r="B72" s="150"/>
      <c r="C72" s="605">
        <f>E66</f>
        <v>128942.62</v>
      </c>
      <c r="D72" s="374" t="s">
        <v>525</v>
      </c>
      <c r="E72" s="150"/>
      <c r="F72" s="366"/>
      <c r="G72" s="495"/>
      <c r="H72" s="495"/>
      <c r="I72" s="495"/>
      <c r="J72" s="182"/>
      <c r="K72" s="182"/>
      <c r="L72" s="182"/>
      <c r="M72" s="182"/>
    </row>
    <row r="73" spans="1:13" s="247" customFormat="1" ht="14.4" x14ac:dyDescent="0.3">
      <c r="A73" s="414" t="s">
        <v>1</v>
      </c>
      <c r="B73" s="375"/>
      <c r="C73" s="386">
        <f>C68</f>
        <v>0</v>
      </c>
      <c r="D73" s="377" t="s">
        <v>526</v>
      </c>
      <c r="E73" s="150"/>
      <c r="F73" s="366"/>
      <c r="G73" s="495"/>
      <c r="H73" s="495"/>
      <c r="I73" s="495"/>
      <c r="J73" s="182"/>
      <c r="K73" s="182"/>
      <c r="L73" s="182"/>
      <c r="M73" s="182"/>
    </row>
    <row r="74" spans="1:13" s="247" customFormat="1" ht="14.4" x14ac:dyDescent="0.3">
      <c r="A74" s="1045" t="s">
        <v>527</v>
      </c>
      <c r="B74" s="1046"/>
      <c r="C74" s="1059">
        <f>SUM(C71:C73)</f>
        <v>1522605.72</v>
      </c>
      <c r="D74" s="1059"/>
      <c r="E74" s="427" t="s">
        <v>1</v>
      </c>
      <c r="F74" s="366"/>
      <c r="G74" s="427" t="s">
        <v>533</v>
      </c>
      <c r="H74" s="495"/>
      <c r="I74" s="425">
        <f>'Payment T&amp;T LAWSON'!N11</f>
        <v>1522605.72</v>
      </c>
      <c r="J74" s="182"/>
      <c r="K74" s="182"/>
      <c r="L74" s="182"/>
      <c r="M74" s="182"/>
    </row>
    <row r="75" spans="1:13" x14ac:dyDescent="0.25">
      <c r="A75" s="415"/>
      <c r="B75" s="372"/>
      <c r="C75" s="372"/>
      <c r="D75" s="372"/>
      <c r="E75" s="372"/>
      <c r="F75" s="416"/>
    </row>
    <row r="76" spans="1:13" s="247" customFormat="1" x14ac:dyDescent="0.25">
      <c r="A76" s="150"/>
      <c r="B76" s="150"/>
      <c r="C76" s="150"/>
      <c r="D76" s="150"/>
      <c r="E76" s="150"/>
      <c r="F76" s="150"/>
      <c r="G76" s="495"/>
      <c r="H76" s="495"/>
      <c r="I76" s="495"/>
    </row>
    <row r="78" spans="1:13" s="247" customFormat="1" ht="15.6" x14ac:dyDescent="0.3">
      <c r="A78" s="1051" t="s">
        <v>531</v>
      </c>
      <c r="B78" s="1052"/>
      <c r="C78" s="1052"/>
      <c r="D78" s="1052"/>
      <c r="E78" s="1052"/>
      <c r="F78" s="1053"/>
      <c r="G78" s="602"/>
      <c r="H78" s="602"/>
      <c r="I78" s="495"/>
      <c r="J78" s="182"/>
      <c r="K78" s="182"/>
      <c r="L78" s="182"/>
      <c r="M78" s="182"/>
    </row>
    <row r="79" spans="1:13" s="247" customFormat="1" ht="15.6" x14ac:dyDescent="0.3">
      <c r="A79" s="1054" t="str">
        <f>$A$2</f>
        <v xml:space="preserve">School Year 2020-2021 </v>
      </c>
      <c r="B79" s="1055"/>
      <c r="C79" s="1055"/>
      <c r="D79" s="1055"/>
      <c r="E79" s="1055"/>
      <c r="F79" s="1056"/>
      <c r="G79" s="602"/>
      <c r="H79" s="602"/>
      <c r="I79" s="495"/>
      <c r="J79" s="182"/>
      <c r="K79" s="182"/>
      <c r="L79" s="182"/>
      <c r="M79" s="182"/>
    </row>
    <row r="80" spans="1:13" s="247" customFormat="1" x14ac:dyDescent="0.25">
      <c r="A80" s="1037" t="s">
        <v>513</v>
      </c>
      <c r="B80" s="1038"/>
      <c r="C80" s="150"/>
      <c r="D80" s="150"/>
      <c r="E80" s="150"/>
      <c r="F80" s="406"/>
      <c r="G80" s="495"/>
      <c r="H80" s="495"/>
      <c r="I80" s="495"/>
      <c r="J80" s="182"/>
      <c r="K80" s="182"/>
      <c r="L80" s="182"/>
      <c r="M80" s="182"/>
    </row>
    <row r="81" spans="1:13" s="247" customFormat="1" ht="14.4" x14ac:dyDescent="0.3">
      <c r="A81" s="407"/>
      <c r="B81" s="353"/>
      <c r="C81" s="354" t="s">
        <v>514</v>
      </c>
      <c r="D81" s="355" t="s">
        <v>515</v>
      </c>
      <c r="E81" s="392"/>
      <c r="F81" s="587"/>
      <c r="G81" s="388"/>
      <c r="H81" s="388"/>
      <c r="I81" s="495"/>
      <c r="J81" s="182"/>
      <c r="K81" s="182"/>
      <c r="L81" s="182"/>
      <c r="M81" s="182"/>
    </row>
    <row r="82" spans="1:13" s="247" customFormat="1" ht="14.4" x14ac:dyDescent="0.3">
      <c r="A82" s="407"/>
      <c r="B82" s="353"/>
      <c r="C82" s="356" t="s">
        <v>516</v>
      </c>
      <c r="D82" s="357" t="s">
        <v>517</v>
      </c>
      <c r="E82" s="393"/>
      <c r="F82" s="588"/>
      <c r="G82" s="390"/>
      <c r="H82" s="390"/>
      <c r="I82" s="495"/>
      <c r="J82" s="182"/>
      <c r="K82" s="182"/>
      <c r="L82" s="182"/>
      <c r="M82" s="182"/>
    </row>
    <row r="83" spans="1:13" s="247" customFormat="1" ht="14.4" x14ac:dyDescent="0.3">
      <c r="A83" s="130" t="s">
        <v>598</v>
      </c>
      <c r="B83" s="408"/>
      <c r="C83" s="394">
        <f>'TT entry &amp; transportation'!K22</f>
        <v>10</v>
      </c>
      <c r="D83" s="444">
        <f>C83*B89</f>
        <v>37263.71</v>
      </c>
      <c r="E83" s="174"/>
      <c r="F83" s="176"/>
      <c r="G83" s="391"/>
      <c r="H83" s="593"/>
      <c r="I83" s="599"/>
      <c r="J83" s="133"/>
      <c r="K83" s="133"/>
      <c r="L83" s="133"/>
      <c r="M83" s="133"/>
    </row>
    <row r="84" spans="1:13" s="864" customFormat="1" ht="14.4" x14ac:dyDescent="0.3">
      <c r="A84" s="130" t="s">
        <v>138</v>
      </c>
      <c r="B84" s="408"/>
      <c r="C84" s="395">
        <f>'TT entry &amp; transportation'!K23</f>
        <v>2.3333499999999998</v>
      </c>
      <c r="D84" s="446">
        <f>'TT entry &amp; transportation'!L23</f>
        <v>8694.93</v>
      </c>
      <c r="E84" s="174"/>
      <c r="F84" s="176"/>
      <c r="G84" s="999" t="s">
        <v>1</v>
      </c>
      <c r="H84" s="968"/>
      <c r="I84" s="969"/>
      <c r="J84" s="782"/>
      <c r="K84" s="782"/>
      <c r="L84" s="782"/>
      <c r="M84" s="782"/>
    </row>
    <row r="85" spans="1:13" s="487" customFormat="1" ht="14.4" x14ac:dyDescent="0.3">
      <c r="A85" s="130" t="s">
        <v>161</v>
      </c>
      <c r="B85" s="408"/>
      <c r="C85" s="395">
        <f>'TT entry &amp; transportation'!K24</f>
        <v>3.5</v>
      </c>
      <c r="D85" s="446">
        <f>'TT entry &amp; transportation'!L24</f>
        <v>13042.3</v>
      </c>
      <c r="E85" s="174"/>
      <c r="F85" s="176"/>
      <c r="G85" s="391"/>
      <c r="H85" s="593"/>
      <c r="I85" s="599"/>
      <c r="J85" s="494"/>
      <c r="K85" s="494"/>
      <c r="L85" s="494"/>
      <c r="M85" s="494"/>
    </row>
    <row r="86" spans="1:13" s="487" customFormat="1" ht="14.4" hidden="1" x14ac:dyDescent="0.3">
      <c r="A86" s="174" t="s">
        <v>31</v>
      </c>
      <c r="B86" s="408"/>
      <c r="C86" s="395">
        <f>'TT entry &amp; transportation'!K25</f>
        <v>0</v>
      </c>
      <c r="D86" s="446">
        <f>'TT entry &amp; transportation'!L25</f>
        <v>0</v>
      </c>
      <c r="E86" s="174"/>
      <c r="F86" s="176"/>
      <c r="G86" s="391"/>
      <c r="H86" s="593"/>
      <c r="I86" s="599"/>
      <c r="J86" s="494"/>
      <c r="K86" s="494"/>
      <c r="L86" s="494"/>
      <c r="M86" s="494"/>
    </row>
    <row r="87" spans="1:13" s="487" customFormat="1" ht="14.4" hidden="1" x14ac:dyDescent="0.3">
      <c r="A87" s="174" t="s">
        <v>390</v>
      </c>
      <c r="B87" s="408"/>
      <c r="C87" s="611">
        <f>'TT entry &amp; transportation'!K26</f>
        <v>0</v>
      </c>
      <c r="D87" s="447">
        <f>'TT entry &amp; transportation'!L26</f>
        <v>0</v>
      </c>
      <c r="E87" s="174"/>
      <c r="F87" s="176"/>
      <c r="G87" s="391"/>
      <c r="H87" s="593"/>
      <c r="I87" s="599"/>
      <c r="J87" s="494"/>
      <c r="K87" s="494"/>
      <c r="L87" s="494"/>
      <c r="M87" s="494"/>
    </row>
    <row r="88" spans="1:13" s="247" customFormat="1" ht="14.4" x14ac:dyDescent="0.3">
      <c r="A88" s="1045" t="s">
        <v>518</v>
      </c>
      <c r="B88" s="1046"/>
      <c r="C88" s="360">
        <f>SUM(C83:C87)</f>
        <v>15.833349999999999</v>
      </c>
      <c r="D88" s="361">
        <f>SUM(D83:D87)</f>
        <v>59000.94</v>
      </c>
      <c r="E88" s="424" t="s">
        <v>1</v>
      </c>
      <c r="F88" s="589"/>
      <c r="G88" s="424" t="s">
        <v>532</v>
      </c>
      <c r="H88" s="425"/>
      <c r="I88" s="426">
        <f>'TT entry &amp; transportation'!M27</f>
        <v>59000.94</v>
      </c>
      <c r="J88" s="133"/>
      <c r="K88" s="133"/>
      <c r="L88" s="133"/>
      <c r="M88" s="133"/>
    </row>
    <row r="89" spans="1:13" s="182" customFormat="1" x14ac:dyDescent="0.25">
      <c r="A89" s="409" t="s">
        <v>596</v>
      </c>
      <c r="B89" s="448">
        <f>'TT entry &amp; transportation'!$B$266</f>
        <v>3726.3709260000001</v>
      </c>
      <c r="C89" s="385" t="s">
        <v>1</v>
      </c>
      <c r="D89" s="175"/>
      <c r="E89" s="427" t="s">
        <v>1</v>
      </c>
      <c r="F89" s="176"/>
      <c r="G89" s="427" t="s">
        <v>533</v>
      </c>
      <c r="H89" s="175"/>
      <c r="I89" s="428">
        <f>'Payment T&amp;T LAWSON'!$I$10</f>
        <v>59000.94</v>
      </c>
      <c r="J89" s="133"/>
      <c r="K89" s="133"/>
      <c r="L89" s="133"/>
      <c r="M89" s="133"/>
    </row>
    <row r="90" spans="1:13" s="182" customFormat="1" ht="14.4" x14ac:dyDescent="0.3">
      <c r="A90" s="410"/>
      <c r="B90" s="411"/>
      <c r="C90" s="175"/>
      <c r="D90" s="175"/>
      <c r="E90" s="175"/>
      <c r="F90" s="176"/>
      <c r="G90" s="175"/>
      <c r="H90" s="175"/>
      <c r="I90" s="430"/>
      <c r="J90" s="133"/>
      <c r="K90" s="133"/>
      <c r="L90" s="133"/>
      <c r="M90" s="133"/>
    </row>
    <row r="91" spans="1:13" s="247" customFormat="1" ht="14.4" x14ac:dyDescent="0.3">
      <c r="A91" s="1049" t="s">
        <v>523</v>
      </c>
      <c r="B91" s="1050"/>
      <c r="C91" s="412">
        <f>'CTE TRANS'!$AL$10</f>
        <v>4590</v>
      </c>
      <c r="D91" s="150"/>
      <c r="E91" s="427" t="s">
        <v>1</v>
      </c>
      <c r="F91" s="406"/>
      <c r="G91" s="427" t="s">
        <v>533</v>
      </c>
      <c r="H91" s="495"/>
      <c r="I91" s="425">
        <f>'Payment T&amp;T LAWSON'!$K$10</f>
        <v>4590</v>
      </c>
      <c r="J91" s="182"/>
      <c r="K91" s="182"/>
      <c r="L91" s="182"/>
      <c r="M91" s="182"/>
    </row>
    <row r="92" spans="1:13" s="247" customFormat="1" x14ac:dyDescent="0.25">
      <c r="A92" s="413"/>
      <c r="B92" s="150"/>
      <c r="C92" s="150"/>
      <c r="D92" s="150"/>
      <c r="E92" s="150"/>
      <c r="F92" s="406"/>
      <c r="G92" s="495"/>
      <c r="H92" s="495"/>
      <c r="I92" s="495"/>
      <c r="J92" s="182"/>
      <c r="K92" s="182"/>
      <c r="L92" s="182"/>
      <c r="M92" s="182"/>
    </row>
    <row r="93" spans="1:13" s="247" customFormat="1" ht="14.4" x14ac:dyDescent="0.3">
      <c r="A93" s="1049" t="s">
        <v>524</v>
      </c>
      <c r="B93" s="1050"/>
      <c r="C93" s="371" t="s">
        <v>1</v>
      </c>
      <c r="D93" s="372" t="s">
        <v>1</v>
      </c>
      <c r="E93" s="150"/>
      <c r="F93" s="406"/>
      <c r="G93" s="495"/>
      <c r="H93" s="495"/>
      <c r="I93" s="495"/>
      <c r="J93" s="182"/>
      <c r="K93" s="182"/>
      <c r="L93" s="182"/>
      <c r="M93" s="182"/>
    </row>
    <row r="94" spans="1:13" s="247" customFormat="1" x14ac:dyDescent="0.25">
      <c r="A94" s="413"/>
      <c r="B94" s="150"/>
      <c r="C94" s="373">
        <f>D88</f>
        <v>59000.94</v>
      </c>
      <c r="D94" s="374" t="s">
        <v>167</v>
      </c>
      <c r="E94" s="150"/>
      <c r="F94" s="406"/>
      <c r="G94" s="495"/>
      <c r="H94" s="495"/>
      <c r="I94" s="495"/>
      <c r="J94" s="182"/>
      <c r="K94" s="182"/>
      <c r="L94" s="182"/>
      <c r="M94" s="182"/>
    </row>
    <row r="95" spans="1:13" s="247" customFormat="1" ht="14.4" x14ac:dyDescent="0.3">
      <c r="A95" s="414" t="s">
        <v>1</v>
      </c>
      <c r="B95" s="375"/>
      <c r="C95" s="376">
        <f>C91</f>
        <v>4590</v>
      </c>
      <c r="D95" s="377" t="s">
        <v>526</v>
      </c>
      <c r="E95" s="150"/>
      <c r="F95" s="406"/>
      <c r="G95" s="495"/>
      <c r="H95" s="495"/>
      <c r="I95" s="495"/>
      <c r="J95" s="182"/>
      <c r="K95" s="182"/>
      <c r="L95" s="182"/>
      <c r="M95" s="182"/>
    </row>
    <row r="96" spans="1:13" s="247" customFormat="1" ht="14.4" x14ac:dyDescent="0.3">
      <c r="A96" s="1045" t="s">
        <v>527</v>
      </c>
      <c r="B96" s="1046"/>
      <c r="C96" s="1059">
        <f>SUM(C94:C95)</f>
        <v>63590.94</v>
      </c>
      <c r="D96" s="1059"/>
      <c r="E96" s="427" t="s">
        <v>1</v>
      </c>
      <c r="F96" s="406"/>
      <c r="G96" s="427" t="s">
        <v>533</v>
      </c>
      <c r="H96" s="495"/>
      <c r="I96" s="425">
        <f>'Payment T&amp;T LAWSON'!$N$10</f>
        <v>63590.94</v>
      </c>
      <c r="J96" s="182"/>
      <c r="K96" s="182"/>
      <c r="L96" s="182"/>
      <c r="M96" s="182"/>
    </row>
    <row r="97" spans="1:13" s="247" customFormat="1" x14ac:dyDescent="0.25">
      <c r="A97" s="415"/>
      <c r="B97" s="372"/>
      <c r="C97" s="372"/>
      <c r="D97" s="372"/>
      <c r="E97" s="372"/>
      <c r="F97" s="416"/>
      <c r="G97" s="495"/>
      <c r="H97" s="495"/>
      <c r="I97" s="495"/>
    </row>
    <row r="98" spans="1:13" s="247" customFormat="1" x14ac:dyDescent="0.25">
      <c r="A98" s="150"/>
      <c r="B98" s="150"/>
      <c r="C98" s="150"/>
      <c r="D98" s="150"/>
      <c r="E98" s="150"/>
      <c r="F98" s="150"/>
      <c r="G98" s="495"/>
      <c r="H98" s="495"/>
      <c r="I98" s="495"/>
    </row>
    <row r="99" spans="1:13" s="247" customFormat="1" x14ac:dyDescent="0.25">
      <c r="G99" s="495"/>
      <c r="H99" s="495"/>
      <c r="I99" s="495"/>
    </row>
    <row r="100" spans="1:13" s="247" customFormat="1" ht="15.6" x14ac:dyDescent="0.3">
      <c r="A100" s="1051" t="s">
        <v>536</v>
      </c>
      <c r="B100" s="1052"/>
      <c r="C100" s="1052"/>
      <c r="D100" s="1052"/>
      <c r="E100" s="1052"/>
      <c r="F100" s="1053"/>
      <c r="G100" s="602"/>
      <c r="H100" s="602"/>
      <c r="I100" s="495"/>
      <c r="J100" s="182"/>
      <c r="K100" s="182"/>
      <c r="L100" s="182"/>
      <c r="M100" s="182"/>
    </row>
    <row r="101" spans="1:13" s="247" customFormat="1" ht="15.6" x14ac:dyDescent="0.3">
      <c r="A101" s="1054" t="str">
        <f>$A$2</f>
        <v xml:space="preserve">School Year 2020-2021 </v>
      </c>
      <c r="B101" s="1055"/>
      <c r="C101" s="1055"/>
      <c r="D101" s="1055"/>
      <c r="E101" s="1055"/>
      <c r="F101" s="1056"/>
      <c r="G101" s="602"/>
      <c r="H101" s="602"/>
      <c r="I101" s="495"/>
      <c r="J101" s="182"/>
      <c r="K101" s="182"/>
      <c r="L101" s="182"/>
      <c r="M101" s="182"/>
    </row>
    <row r="102" spans="1:13" s="247" customFormat="1" x14ac:dyDescent="0.25">
      <c r="A102" s="1037" t="s">
        <v>513</v>
      </c>
      <c r="B102" s="1038"/>
      <c r="C102" s="150"/>
      <c r="D102" s="150"/>
      <c r="E102" s="150"/>
      <c r="F102" s="406"/>
      <c r="G102" s="495"/>
      <c r="H102" s="495"/>
      <c r="I102" s="495"/>
      <c r="J102" s="182"/>
      <c r="K102" s="182"/>
      <c r="L102" s="182"/>
      <c r="M102" s="182"/>
    </row>
    <row r="103" spans="1:13" s="247" customFormat="1" ht="14.4" x14ac:dyDescent="0.3">
      <c r="A103" s="407"/>
      <c r="B103" s="353"/>
      <c r="C103" s="354" t="s">
        <v>514</v>
      </c>
      <c r="D103" s="355" t="s">
        <v>515</v>
      </c>
      <c r="E103" s="392"/>
      <c r="F103" s="587"/>
      <c r="G103" s="388"/>
      <c r="H103" s="388"/>
      <c r="I103" s="495"/>
      <c r="J103" s="182"/>
      <c r="K103" s="182"/>
      <c r="L103" s="182"/>
      <c r="M103" s="182"/>
    </row>
    <row r="104" spans="1:13" s="247" customFormat="1" ht="14.4" x14ac:dyDescent="0.3">
      <c r="A104" s="407"/>
      <c r="B104" s="353"/>
      <c r="C104" s="356" t="s">
        <v>516</v>
      </c>
      <c r="D104" s="357" t="s">
        <v>517</v>
      </c>
      <c r="E104" s="393"/>
      <c r="F104" s="588"/>
      <c r="G104" s="390"/>
      <c r="H104" s="390"/>
      <c r="I104" s="495"/>
      <c r="J104" s="182"/>
      <c r="K104" s="182"/>
      <c r="L104" s="182"/>
      <c r="M104" s="182"/>
    </row>
    <row r="105" spans="1:13" s="864" customFormat="1" ht="14.4" x14ac:dyDescent="0.3">
      <c r="A105" s="560" t="s">
        <v>602</v>
      </c>
      <c r="B105" s="353"/>
      <c r="C105" s="445">
        <f>'TT entry &amp; transportation'!K28</f>
        <v>1</v>
      </c>
      <c r="D105" s="446">
        <f>C105*$B$116</f>
        <v>3726.37</v>
      </c>
      <c r="E105" s="393"/>
      <c r="F105" s="588"/>
      <c r="G105" s="390"/>
      <c r="H105" s="390"/>
      <c r="I105" s="783"/>
      <c r="J105" s="784"/>
      <c r="K105" s="784"/>
      <c r="L105" s="784"/>
      <c r="M105" s="784"/>
    </row>
    <row r="106" spans="1:13" s="864" customFormat="1" ht="14.4" x14ac:dyDescent="0.3">
      <c r="A106" s="560" t="s">
        <v>17</v>
      </c>
      <c r="B106" s="353"/>
      <c r="C106" s="445">
        <f>'TT entry &amp; transportation'!K29</f>
        <v>1</v>
      </c>
      <c r="D106" s="446">
        <f>C106*$B$116</f>
        <v>3726.37</v>
      </c>
      <c r="E106" s="393"/>
      <c r="F106" s="588"/>
      <c r="G106" s="390"/>
      <c r="H106" s="390"/>
      <c r="I106" s="783"/>
      <c r="J106" s="784"/>
      <c r="K106" s="784"/>
      <c r="L106" s="784"/>
      <c r="M106" s="784"/>
    </row>
    <row r="107" spans="1:13" s="247" customFormat="1" ht="14.4" x14ac:dyDescent="0.3">
      <c r="A107" s="134" t="s">
        <v>347</v>
      </c>
      <c r="B107" s="408"/>
      <c r="C107" s="445">
        <f>'TT entry &amp; transportation'!K30</f>
        <v>16</v>
      </c>
      <c r="D107" s="446">
        <f>C107*$B$116</f>
        <v>59621.93</v>
      </c>
      <c r="E107" s="174"/>
      <c r="F107" s="176"/>
      <c r="G107" s="363"/>
      <c r="H107" s="595"/>
      <c r="I107" s="599"/>
      <c r="J107" s="133"/>
      <c r="K107" s="133"/>
      <c r="L107" s="133"/>
      <c r="M107" s="133"/>
    </row>
    <row r="108" spans="1:13" s="487" customFormat="1" ht="14.4" hidden="1" x14ac:dyDescent="0.3">
      <c r="A108" s="134" t="s">
        <v>20</v>
      </c>
      <c r="B108" s="408"/>
      <c r="C108" s="445">
        <f>'TT entry &amp; transportation'!K31</f>
        <v>0</v>
      </c>
      <c r="D108" s="446">
        <f>'TT entry &amp; transportation'!L31</f>
        <v>0</v>
      </c>
      <c r="E108" s="174"/>
      <c r="F108" s="176"/>
      <c r="G108" s="363"/>
      <c r="H108" s="595"/>
      <c r="I108" s="599"/>
      <c r="J108" s="494"/>
      <c r="K108" s="494"/>
      <c r="L108" s="494"/>
      <c r="M108" s="494"/>
    </row>
    <row r="109" spans="1:13" s="247" customFormat="1" ht="14.4" x14ac:dyDescent="0.3">
      <c r="A109" s="134" t="s">
        <v>348</v>
      </c>
      <c r="B109" s="408"/>
      <c r="C109" s="445">
        <f>'TT entry &amp; transportation'!$K$32</f>
        <v>49</v>
      </c>
      <c r="D109" s="446">
        <f t="shared" ref="D109:D114" si="1">C109*$B$116</f>
        <v>182592.18</v>
      </c>
      <c r="E109" s="174"/>
      <c r="F109" s="176"/>
      <c r="G109" s="363"/>
      <c r="H109" s="595"/>
      <c r="I109" s="599"/>
      <c r="J109" s="133"/>
      <c r="K109" s="133"/>
      <c r="L109" s="133"/>
      <c r="M109" s="133"/>
    </row>
    <row r="110" spans="1:13" s="247" customFormat="1" ht="14.4" x14ac:dyDescent="0.3">
      <c r="A110" s="134" t="s">
        <v>349</v>
      </c>
      <c r="B110" s="408"/>
      <c r="C110" s="445">
        <f>'TT entry &amp; transportation'!K35</f>
        <v>0.5</v>
      </c>
      <c r="D110" s="446">
        <f t="shared" si="1"/>
        <v>1863.19</v>
      </c>
      <c r="E110" s="174"/>
      <c r="F110" s="176"/>
      <c r="G110" s="363"/>
      <c r="H110" s="595"/>
      <c r="I110" s="599"/>
      <c r="J110" s="133"/>
      <c r="K110" s="133"/>
      <c r="L110" s="133"/>
      <c r="M110" s="133"/>
    </row>
    <row r="111" spans="1:13" s="864" customFormat="1" ht="14.4" x14ac:dyDescent="0.3">
      <c r="A111" s="134" t="s">
        <v>23</v>
      </c>
      <c r="B111" s="408"/>
      <c r="C111" s="445">
        <f>'TT entry &amp; transportation'!K33</f>
        <v>1</v>
      </c>
      <c r="D111" s="446">
        <f t="shared" si="1"/>
        <v>3726.37</v>
      </c>
      <c r="E111" s="174"/>
      <c r="F111" s="176"/>
      <c r="G111" s="363"/>
      <c r="H111" s="595"/>
      <c r="I111" s="599"/>
      <c r="J111" s="782"/>
      <c r="K111" s="782"/>
      <c r="L111" s="782"/>
      <c r="M111" s="782"/>
    </row>
    <row r="112" spans="1:13" s="247" customFormat="1" ht="14.4" x14ac:dyDescent="0.3">
      <c r="A112" s="130" t="s">
        <v>639</v>
      </c>
      <c r="B112" s="408"/>
      <c r="C112" s="445">
        <f>'TT entry &amp; transportation'!$K$34</f>
        <v>38.333300000000001</v>
      </c>
      <c r="D112" s="446">
        <f t="shared" si="1"/>
        <v>142844.09</v>
      </c>
      <c r="E112" s="130" t="s">
        <v>1</v>
      </c>
      <c r="F112" s="176"/>
      <c r="G112" s="363"/>
      <c r="H112" s="595"/>
      <c r="I112" s="599"/>
      <c r="J112" s="133"/>
      <c r="K112" s="133"/>
      <c r="L112" s="133"/>
      <c r="M112" s="133"/>
    </row>
    <row r="113" spans="1:13" s="247" customFormat="1" ht="14.4" x14ac:dyDescent="0.3">
      <c r="A113" s="130" t="s">
        <v>141</v>
      </c>
      <c r="B113" s="408"/>
      <c r="C113" s="445">
        <f>'TT entry &amp; transportation'!$K$36</f>
        <v>20.666699999999999</v>
      </c>
      <c r="D113" s="446">
        <f t="shared" si="1"/>
        <v>77011.789999999994</v>
      </c>
      <c r="E113" s="130" t="s">
        <v>1</v>
      </c>
      <c r="F113" s="176"/>
      <c r="G113" s="1063" t="s">
        <v>1</v>
      </c>
      <c r="H113" s="1064"/>
      <c r="I113" s="599"/>
      <c r="J113" s="133"/>
      <c r="K113" s="133"/>
      <c r="L113" s="133"/>
      <c r="M113" s="133"/>
    </row>
    <row r="114" spans="1:13" s="864" customFormat="1" ht="14.4" x14ac:dyDescent="0.3">
      <c r="A114" s="130" t="s">
        <v>894</v>
      </c>
      <c r="B114" s="408"/>
      <c r="C114" s="445">
        <f>'TT entry &amp; transportation'!$K$37</f>
        <v>1</v>
      </c>
      <c r="D114" s="447">
        <f t="shared" si="1"/>
        <v>3726.37</v>
      </c>
      <c r="E114" s="130" t="s">
        <v>1</v>
      </c>
      <c r="F114" s="176"/>
      <c r="G114" s="363"/>
      <c r="H114" s="595"/>
      <c r="I114" s="599"/>
      <c r="J114" s="782"/>
      <c r="K114" s="782"/>
      <c r="L114" s="782"/>
      <c r="M114" s="782"/>
    </row>
    <row r="115" spans="1:13" s="247" customFormat="1" ht="14.4" x14ac:dyDescent="0.3">
      <c r="A115" s="1045" t="s">
        <v>518</v>
      </c>
      <c r="B115" s="1046"/>
      <c r="C115" s="360">
        <f>SUM(C105:C114)</f>
        <v>128.5</v>
      </c>
      <c r="D115" s="361">
        <f>SUM(D105:D114)</f>
        <v>478838.66</v>
      </c>
      <c r="E115" s="424" t="s">
        <v>1</v>
      </c>
      <c r="F115" s="589"/>
      <c r="G115" s="424" t="s">
        <v>532</v>
      </c>
      <c r="H115" s="425"/>
      <c r="I115" s="425">
        <f>'TT entry &amp; transportation'!M39</f>
        <v>478838.66</v>
      </c>
      <c r="J115" s="133"/>
      <c r="K115" s="133"/>
      <c r="L115" s="133"/>
      <c r="M115" s="133"/>
    </row>
    <row r="116" spans="1:13" s="182" customFormat="1" ht="14.4" x14ac:dyDescent="0.3">
      <c r="A116" s="409" t="s">
        <v>596</v>
      </c>
      <c r="B116" s="448">
        <f>'TT entry &amp; transportation'!$B$266</f>
        <v>3726.3709260000001</v>
      </c>
      <c r="C116" s="175"/>
      <c r="D116" s="175"/>
      <c r="E116" s="427" t="s">
        <v>1</v>
      </c>
      <c r="F116" s="176"/>
      <c r="G116" s="427" t="s">
        <v>533</v>
      </c>
      <c r="H116" s="175"/>
      <c r="I116" s="430">
        <f>'Payment T&amp;T LAWSON'!I12</f>
        <v>478838.66</v>
      </c>
      <c r="J116" s="133"/>
      <c r="K116" s="133"/>
      <c r="L116" s="133"/>
      <c r="M116" s="133"/>
    </row>
    <row r="117" spans="1:13" s="182" customFormat="1" ht="14.4" x14ac:dyDescent="0.3">
      <c r="A117" s="410"/>
      <c r="B117" s="411"/>
      <c r="C117" s="175"/>
      <c r="D117" s="175"/>
      <c r="E117" s="175"/>
      <c r="F117" s="176"/>
      <c r="G117" s="175"/>
      <c r="H117" s="175"/>
      <c r="I117" s="363"/>
      <c r="J117" s="133"/>
      <c r="K117" s="133"/>
      <c r="L117" s="133"/>
      <c r="M117" s="133"/>
    </row>
    <row r="118" spans="1:13" s="247" customFormat="1" ht="14.4" x14ac:dyDescent="0.3">
      <c r="A118" s="1057" t="s">
        <v>523</v>
      </c>
      <c r="B118" s="1058"/>
      <c r="C118" s="970">
        <f>'CTE TRANS'!$AL$11</f>
        <v>4373.2</v>
      </c>
      <c r="D118" s="722" t="s">
        <v>1</v>
      </c>
      <c r="E118" s="427" t="s">
        <v>1</v>
      </c>
      <c r="F118" s="597"/>
      <c r="G118" s="427" t="s">
        <v>533</v>
      </c>
      <c r="H118" s="427"/>
      <c r="I118" s="430">
        <f>'Payment T&amp;T LAWSON'!K12</f>
        <v>4373.2</v>
      </c>
      <c r="J118" s="182"/>
      <c r="K118" s="182"/>
      <c r="L118" s="182"/>
      <c r="M118" s="182"/>
    </row>
    <row r="119" spans="1:13" s="247" customFormat="1" x14ac:dyDescent="0.25">
      <c r="A119" s="413"/>
      <c r="B119" s="150"/>
      <c r="C119" s="150"/>
      <c r="D119" s="150"/>
      <c r="E119" s="150"/>
      <c r="F119" s="406"/>
      <c r="G119" s="495"/>
      <c r="H119" s="495"/>
      <c r="I119" s="495"/>
      <c r="J119" s="182"/>
      <c r="K119" s="182"/>
      <c r="L119" s="182"/>
      <c r="M119" s="182"/>
    </row>
    <row r="120" spans="1:13" s="247" customFormat="1" ht="14.4" x14ac:dyDescent="0.3">
      <c r="A120" s="1049" t="s">
        <v>524</v>
      </c>
      <c r="B120" s="1050"/>
      <c r="C120" s="371" t="s">
        <v>1</v>
      </c>
      <c r="D120" s="372" t="s">
        <v>1</v>
      </c>
      <c r="E120" s="150"/>
      <c r="F120" s="406"/>
      <c r="G120" s="495"/>
      <c r="H120" s="495"/>
      <c r="I120" s="495"/>
      <c r="J120" s="182"/>
      <c r="K120" s="182"/>
      <c r="L120" s="182"/>
      <c r="M120" s="182"/>
    </row>
    <row r="121" spans="1:13" s="247" customFormat="1" x14ac:dyDescent="0.25">
      <c r="A121" s="413"/>
      <c r="B121" s="150"/>
      <c r="C121" s="373">
        <f>D115</f>
        <v>478838.66</v>
      </c>
      <c r="D121" s="374" t="s">
        <v>167</v>
      </c>
      <c r="E121" s="150"/>
      <c r="F121" s="406"/>
      <c r="G121" s="495"/>
      <c r="H121" s="495"/>
      <c r="I121" s="495"/>
      <c r="J121" s="182"/>
      <c r="K121" s="182"/>
      <c r="L121" s="182"/>
      <c r="M121" s="182"/>
    </row>
    <row r="122" spans="1:13" s="247" customFormat="1" ht="14.4" x14ac:dyDescent="0.3">
      <c r="A122" s="414" t="s">
        <v>1</v>
      </c>
      <c r="B122" s="375"/>
      <c r="C122" s="386">
        <f>C118</f>
        <v>4373.2</v>
      </c>
      <c r="D122" s="377" t="s">
        <v>526</v>
      </c>
      <c r="E122" s="150"/>
      <c r="F122" s="406"/>
      <c r="G122" s="495"/>
      <c r="H122" s="495"/>
      <c r="I122" s="495"/>
      <c r="J122" s="182"/>
      <c r="K122" s="182"/>
      <c r="L122" s="182"/>
      <c r="M122" s="182"/>
    </row>
    <row r="123" spans="1:13" s="247" customFormat="1" ht="14.4" x14ac:dyDescent="0.3">
      <c r="A123" s="1045" t="s">
        <v>527</v>
      </c>
      <c r="B123" s="1046"/>
      <c r="C123" s="1059">
        <f>SUM(C121:C122)</f>
        <v>483211.86</v>
      </c>
      <c r="D123" s="1059"/>
      <c r="E123" s="427" t="s">
        <v>1</v>
      </c>
      <c r="F123" s="366"/>
      <c r="G123" s="427" t="s">
        <v>533</v>
      </c>
      <c r="H123" s="495"/>
      <c r="I123" s="425">
        <f>'Payment T&amp;T LAWSON'!N12</f>
        <v>483211.86</v>
      </c>
      <c r="J123" s="182"/>
      <c r="K123" s="182"/>
      <c r="L123" s="182"/>
      <c r="M123" s="182"/>
    </row>
    <row r="124" spans="1:13" s="247" customFormat="1" x14ac:dyDescent="0.25">
      <c r="A124" s="415"/>
      <c r="B124" s="372"/>
      <c r="C124" s="372"/>
      <c r="D124" s="372"/>
      <c r="E124" s="372"/>
      <c r="F124" s="416"/>
      <c r="G124" s="495"/>
      <c r="H124" s="495"/>
      <c r="I124" s="495"/>
    </row>
    <row r="125" spans="1:13" s="247" customFormat="1" x14ac:dyDescent="0.25">
      <c r="A125" s="150"/>
      <c r="B125" s="150"/>
      <c r="C125" s="150"/>
      <c r="D125" s="150"/>
      <c r="E125" s="150"/>
      <c r="F125" s="150"/>
      <c r="G125" s="495"/>
      <c r="H125" s="495"/>
      <c r="I125" s="495"/>
    </row>
    <row r="127" spans="1:13" s="247" customFormat="1" ht="15.6" x14ac:dyDescent="0.3">
      <c r="A127" s="1051" t="s">
        <v>535</v>
      </c>
      <c r="B127" s="1052"/>
      <c r="C127" s="1052"/>
      <c r="D127" s="1052"/>
      <c r="E127" s="1052"/>
      <c r="F127" s="1053"/>
      <c r="G127" s="602"/>
      <c r="H127" s="602"/>
      <c r="I127" s="495"/>
      <c r="J127" s="182"/>
      <c r="K127" s="182"/>
      <c r="L127" s="182"/>
      <c r="M127" s="182"/>
    </row>
    <row r="128" spans="1:13" s="247" customFormat="1" ht="15.6" x14ac:dyDescent="0.3">
      <c r="A128" s="1054" t="str">
        <f>$A$2</f>
        <v xml:space="preserve">School Year 2020-2021 </v>
      </c>
      <c r="B128" s="1055"/>
      <c r="C128" s="1055"/>
      <c r="D128" s="1055"/>
      <c r="E128" s="1055"/>
      <c r="F128" s="1056"/>
      <c r="G128" s="602"/>
      <c r="H128" s="602"/>
      <c r="I128" s="495"/>
      <c r="J128" s="182"/>
      <c r="K128" s="182"/>
      <c r="L128" s="182"/>
      <c r="M128" s="182"/>
    </row>
    <row r="129" spans="1:13" s="247" customFormat="1" x14ac:dyDescent="0.25">
      <c r="A129" s="1037" t="s">
        <v>513</v>
      </c>
      <c r="B129" s="1038"/>
      <c r="C129" s="150"/>
      <c r="D129" s="150"/>
      <c r="E129" s="150"/>
      <c r="F129" s="406"/>
      <c r="G129" s="495"/>
      <c r="H129" s="495"/>
      <c r="I129" s="495"/>
      <c r="J129" s="182"/>
      <c r="K129" s="182"/>
      <c r="L129" s="182"/>
      <c r="M129" s="182"/>
    </row>
    <row r="130" spans="1:13" s="247" customFormat="1" ht="14.4" x14ac:dyDescent="0.3">
      <c r="A130" s="407"/>
      <c r="B130" s="353"/>
      <c r="C130" s="354" t="s">
        <v>514</v>
      </c>
      <c r="D130" s="355" t="s">
        <v>515</v>
      </c>
      <c r="E130" s="392"/>
      <c r="F130" s="587"/>
      <c r="G130" s="388"/>
      <c r="H130" s="388"/>
      <c r="I130" s="495"/>
      <c r="J130" s="182"/>
      <c r="K130" s="182"/>
      <c r="L130" s="182"/>
      <c r="M130" s="182"/>
    </row>
    <row r="131" spans="1:13" s="247" customFormat="1" ht="14.4" x14ac:dyDescent="0.3">
      <c r="A131" s="407"/>
      <c r="B131" s="353"/>
      <c r="C131" s="356" t="s">
        <v>516</v>
      </c>
      <c r="D131" s="357" t="s">
        <v>517</v>
      </c>
      <c r="E131" s="393"/>
      <c r="F131" s="588"/>
      <c r="G131" s="390"/>
      <c r="H131" s="390"/>
      <c r="I131" s="495"/>
      <c r="J131" s="182"/>
      <c r="K131" s="182"/>
      <c r="L131" s="182"/>
      <c r="M131" s="182"/>
    </row>
    <row r="132" spans="1:13" x14ac:dyDescent="0.25">
      <c r="A132" s="130" t="s">
        <v>491</v>
      </c>
      <c r="B132" s="150"/>
      <c r="C132" s="432">
        <f>'TT entry &amp; transportation'!$K$40</f>
        <v>1</v>
      </c>
      <c r="D132" s="435">
        <f>C132*$B$145</f>
        <v>3726.37</v>
      </c>
      <c r="E132" s="150"/>
      <c r="F132" s="406"/>
    </row>
    <row r="133" spans="1:13" x14ac:dyDescent="0.25">
      <c r="A133" s="130" t="s">
        <v>362</v>
      </c>
      <c r="B133" s="150"/>
      <c r="C133" s="433">
        <f>'TT entry &amp; transportation'!$K$44</f>
        <v>47</v>
      </c>
      <c r="D133" s="436">
        <f t="shared" ref="D133:D143" si="2">C133*$B$145</f>
        <v>175139.43</v>
      </c>
      <c r="E133" s="150"/>
      <c r="F133" s="406"/>
    </row>
    <row r="134" spans="1:13" ht="14.4" x14ac:dyDescent="0.3">
      <c r="A134" s="130" t="s">
        <v>360</v>
      </c>
      <c r="B134" s="150"/>
      <c r="C134" s="433">
        <f>'TT entry &amp; transportation'!$K$46</f>
        <v>48.333350000000003</v>
      </c>
      <c r="D134" s="436">
        <f>C134*$B$145-0.01</f>
        <v>180107.98</v>
      </c>
      <c r="E134" s="150"/>
      <c r="F134" s="406"/>
      <c r="G134" s="999" t="s">
        <v>640</v>
      </c>
    </row>
    <row r="135" spans="1:13" hidden="1" x14ac:dyDescent="0.25">
      <c r="A135" s="130" t="s">
        <v>359</v>
      </c>
      <c r="B135" s="150"/>
      <c r="C135" s="433">
        <f>'TT entry &amp; transportation'!$K$49</f>
        <v>0</v>
      </c>
      <c r="D135" s="436">
        <f t="shared" si="2"/>
        <v>0</v>
      </c>
      <c r="E135" s="150"/>
      <c r="F135" s="406"/>
    </row>
    <row r="136" spans="1:13" x14ac:dyDescent="0.25">
      <c r="A136" s="130" t="s">
        <v>763</v>
      </c>
      <c r="B136" s="150"/>
      <c r="C136" s="433">
        <f>'TT entry &amp; transportation'!$K$51</f>
        <v>0.5</v>
      </c>
      <c r="D136" s="436">
        <f t="shared" si="2"/>
        <v>1863.19</v>
      </c>
      <c r="E136" s="150"/>
      <c r="F136" s="406"/>
    </row>
    <row r="137" spans="1:13" hidden="1" x14ac:dyDescent="0.25">
      <c r="A137" s="130" t="s">
        <v>764</v>
      </c>
      <c r="B137" s="150"/>
      <c r="C137" s="433">
        <f>'TT entry &amp; transportation'!$K$52</f>
        <v>0</v>
      </c>
      <c r="D137" s="436">
        <f t="shared" si="2"/>
        <v>0</v>
      </c>
      <c r="E137" s="150"/>
      <c r="F137" s="406"/>
    </row>
    <row r="138" spans="1:13" x14ac:dyDescent="0.25">
      <c r="A138" s="130" t="s">
        <v>357</v>
      </c>
      <c r="B138" s="150"/>
      <c r="C138" s="433">
        <f>'TT entry &amp; transportation'!$K$53</f>
        <v>50.666699999999999</v>
      </c>
      <c r="D138" s="436">
        <f t="shared" si="2"/>
        <v>188802.92</v>
      </c>
      <c r="E138" s="150"/>
      <c r="F138" s="406"/>
    </row>
    <row r="139" spans="1:13" hidden="1" x14ac:dyDescent="0.25">
      <c r="A139" s="130" t="s">
        <v>639</v>
      </c>
      <c r="B139" s="150"/>
      <c r="C139" s="433">
        <f>'TT entry &amp; transportation'!$K$54</f>
        <v>0</v>
      </c>
      <c r="D139" s="436">
        <f t="shared" si="2"/>
        <v>0</v>
      </c>
      <c r="E139" s="130" t="s">
        <v>1</v>
      </c>
      <c r="F139" s="406"/>
    </row>
    <row r="140" spans="1:13" ht="14.4" x14ac:dyDescent="0.3">
      <c r="A140" s="130" t="s">
        <v>356</v>
      </c>
      <c r="B140" s="150"/>
      <c r="C140" s="433">
        <f>'TT entry &amp; transportation'!$K$55</f>
        <v>59.833350000000003</v>
      </c>
      <c r="D140" s="436">
        <f>C140*$B$145</f>
        <v>222961.26</v>
      </c>
      <c r="E140" s="150"/>
      <c r="F140" s="406"/>
      <c r="G140" s="967" t="s">
        <v>1</v>
      </c>
    </row>
    <row r="141" spans="1:13" x14ac:dyDescent="0.25">
      <c r="A141" s="130" t="s">
        <v>355</v>
      </c>
      <c r="B141" s="150"/>
      <c r="C141" s="433">
        <f>'TT entry &amp; transportation'!$K$56</f>
        <v>1</v>
      </c>
      <c r="D141" s="436">
        <f t="shared" si="2"/>
        <v>3726.37</v>
      </c>
      <c r="E141" s="150"/>
      <c r="F141" s="406"/>
    </row>
    <row r="142" spans="1:13" hidden="1" x14ac:dyDescent="0.25">
      <c r="A142" s="130" t="s">
        <v>58</v>
      </c>
      <c r="B142" s="150"/>
      <c r="C142" s="433">
        <f>'TT entry &amp; transportation'!$K$57</f>
        <v>0</v>
      </c>
      <c r="D142" s="436">
        <f t="shared" si="2"/>
        <v>0</v>
      </c>
      <c r="E142" s="150"/>
      <c r="F142" s="406"/>
    </row>
    <row r="143" spans="1:13" x14ac:dyDescent="0.25">
      <c r="A143" s="130" t="s">
        <v>354</v>
      </c>
      <c r="B143" s="150"/>
      <c r="C143" s="434">
        <f>'TT entry &amp; transportation'!$K$58</f>
        <v>88.666650000000004</v>
      </c>
      <c r="D143" s="437">
        <f t="shared" si="2"/>
        <v>330404.83</v>
      </c>
      <c r="E143" s="150"/>
      <c r="F143" s="406"/>
    </row>
    <row r="144" spans="1:13" s="247" customFormat="1" ht="14.4" x14ac:dyDescent="0.3">
      <c r="A144" s="1045" t="s">
        <v>518</v>
      </c>
      <c r="B144" s="1046"/>
      <c r="C144" s="360">
        <f>SUM(C132:C143)</f>
        <v>297.00004999999999</v>
      </c>
      <c r="D144" s="361">
        <f>SUM(D132:D143)</f>
        <v>1106732.3500000001</v>
      </c>
      <c r="E144" s="424" t="s">
        <v>1</v>
      </c>
      <c r="F144" s="589"/>
      <c r="G144" s="424" t="s">
        <v>532</v>
      </c>
      <c r="H144" s="425"/>
      <c r="I144" s="425">
        <f>'TT entry &amp; transportation'!$M$59</f>
        <v>1106732.3500000001</v>
      </c>
      <c r="J144" s="133"/>
      <c r="K144" s="133"/>
      <c r="L144" s="133"/>
      <c r="M144" s="133"/>
    </row>
    <row r="145" spans="1:13" ht="14.4" x14ac:dyDescent="0.3">
      <c r="A145" s="409" t="s">
        <v>596</v>
      </c>
      <c r="B145" s="448">
        <f>'TT entry &amp; transportation'!$B$266</f>
        <v>3726.3709260000001</v>
      </c>
      <c r="C145" s="150"/>
      <c r="D145" s="150"/>
      <c r="E145" s="427" t="s">
        <v>1</v>
      </c>
      <c r="F145" s="176"/>
      <c r="G145" s="427" t="s">
        <v>533</v>
      </c>
      <c r="H145" s="175"/>
      <c r="I145" s="430">
        <f>'Payment T&amp;T LAWSON'!I15</f>
        <v>1106732.3500000001</v>
      </c>
    </row>
    <row r="146" spans="1:13" x14ac:dyDescent="0.25">
      <c r="A146" s="413"/>
      <c r="B146" s="150"/>
      <c r="C146" s="150"/>
      <c r="D146" s="150"/>
      <c r="E146" s="150"/>
      <c r="F146" s="406"/>
    </row>
    <row r="147" spans="1:13" s="247" customFormat="1" ht="14.4" x14ac:dyDescent="0.3">
      <c r="A147" s="1049" t="s">
        <v>523</v>
      </c>
      <c r="B147" s="1050"/>
      <c r="C147" s="431">
        <f>'CTE TRANS'!$AL$14</f>
        <v>1322</v>
      </c>
      <c r="D147" s="150"/>
      <c r="E147" s="427" t="s">
        <v>1</v>
      </c>
      <c r="F147" s="597"/>
      <c r="G147" s="427" t="s">
        <v>533</v>
      </c>
      <c r="H147" s="427"/>
      <c r="I147" s="430">
        <f>'Payment T&amp;T LAWSON'!K15</f>
        <v>1322</v>
      </c>
      <c r="J147" s="182"/>
      <c r="K147" s="182"/>
      <c r="L147" s="182"/>
      <c r="M147" s="182"/>
    </row>
    <row r="148" spans="1:13" s="247" customFormat="1" x14ac:dyDescent="0.25">
      <c r="A148" s="413"/>
      <c r="B148" s="150"/>
      <c r="C148" s="150"/>
      <c r="D148" s="150"/>
      <c r="E148" s="150"/>
      <c r="F148" s="406"/>
      <c r="G148" s="495"/>
      <c r="H148" s="495"/>
      <c r="I148" s="495"/>
      <c r="J148" s="182"/>
      <c r="K148" s="182"/>
      <c r="L148" s="182"/>
      <c r="M148" s="182"/>
    </row>
    <row r="149" spans="1:13" s="247" customFormat="1" ht="14.4" x14ac:dyDescent="0.3">
      <c r="A149" s="1049" t="s">
        <v>524</v>
      </c>
      <c r="B149" s="1050"/>
      <c r="C149" s="371" t="s">
        <v>1</v>
      </c>
      <c r="D149" s="372" t="s">
        <v>1</v>
      </c>
      <c r="E149" s="150"/>
      <c r="F149" s="406"/>
      <c r="G149" s="495"/>
      <c r="H149" s="495"/>
      <c r="I149" s="495"/>
      <c r="J149" s="182"/>
      <c r="K149" s="182"/>
      <c r="L149" s="182"/>
      <c r="M149" s="182"/>
    </row>
    <row r="150" spans="1:13" s="247" customFormat="1" x14ac:dyDescent="0.25">
      <c r="A150" s="413"/>
      <c r="B150" s="150"/>
      <c r="C150" s="373">
        <f>D144</f>
        <v>1106732.3500000001</v>
      </c>
      <c r="D150" s="374" t="s">
        <v>167</v>
      </c>
      <c r="E150" s="150"/>
      <c r="F150" s="406"/>
      <c r="G150" s="495"/>
      <c r="H150" s="495"/>
      <c r="I150" s="495"/>
      <c r="J150" s="182"/>
      <c r="K150" s="182"/>
      <c r="L150" s="182"/>
      <c r="M150" s="182"/>
    </row>
    <row r="151" spans="1:13" s="247" customFormat="1" ht="14.4" x14ac:dyDescent="0.3">
      <c r="A151" s="414" t="s">
        <v>1</v>
      </c>
      <c r="B151" s="375"/>
      <c r="C151" s="386">
        <f>C147</f>
        <v>1322</v>
      </c>
      <c r="D151" s="377" t="s">
        <v>526</v>
      </c>
      <c r="E151" s="150"/>
      <c r="F151" s="406"/>
      <c r="G151" s="495"/>
      <c r="H151" s="495"/>
      <c r="I151" s="495"/>
      <c r="J151" s="182"/>
      <c r="K151" s="182"/>
      <c r="L151" s="182"/>
      <c r="M151" s="182"/>
    </row>
    <row r="152" spans="1:13" s="247" customFormat="1" ht="14.4" x14ac:dyDescent="0.3">
      <c r="A152" s="1045" t="s">
        <v>527</v>
      </c>
      <c r="B152" s="1046"/>
      <c r="C152" s="1059">
        <f>SUM(C150:C151)</f>
        <v>1108054.3500000001</v>
      </c>
      <c r="D152" s="1059"/>
      <c r="E152" s="427" t="s">
        <v>1</v>
      </c>
      <c r="F152" s="366"/>
      <c r="G152" s="427" t="s">
        <v>533</v>
      </c>
      <c r="H152" s="495"/>
      <c r="I152" s="425">
        <f>'Payment T&amp;T LAWSON'!$N$15</f>
        <v>1108054.3500000001</v>
      </c>
      <c r="J152" s="182"/>
      <c r="K152" s="182"/>
      <c r="L152" s="182"/>
      <c r="M152" s="182"/>
    </row>
    <row r="153" spans="1:13" s="247" customFormat="1" x14ac:dyDescent="0.25">
      <c r="A153" s="415"/>
      <c r="B153" s="372"/>
      <c r="C153" s="372"/>
      <c r="D153" s="372"/>
      <c r="E153" s="372"/>
      <c r="F153" s="416"/>
      <c r="G153" s="495"/>
      <c r="H153" s="495"/>
      <c r="I153" s="495"/>
    </row>
    <row r="154" spans="1:13" s="247" customFormat="1" x14ac:dyDescent="0.25">
      <c r="A154" s="150"/>
      <c r="B154" s="150"/>
      <c r="C154" s="150"/>
      <c r="D154" s="150"/>
      <c r="E154" s="150"/>
      <c r="F154" s="150"/>
      <c r="G154" s="495"/>
      <c r="H154" s="495"/>
      <c r="I154" s="495"/>
    </row>
    <row r="156" spans="1:13" s="247" customFormat="1" ht="15.6" x14ac:dyDescent="0.3">
      <c r="A156" s="1051" t="s">
        <v>537</v>
      </c>
      <c r="B156" s="1052"/>
      <c r="C156" s="1052"/>
      <c r="D156" s="1052"/>
      <c r="E156" s="1052"/>
      <c r="F156" s="1053"/>
      <c r="G156" s="602"/>
      <c r="H156" s="602"/>
      <c r="I156" s="495"/>
      <c r="J156" s="182"/>
      <c r="K156" s="182"/>
      <c r="L156" s="182"/>
      <c r="M156" s="182"/>
    </row>
    <row r="157" spans="1:13" s="247" customFormat="1" ht="15.6" x14ac:dyDescent="0.3">
      <c r="A157" s="1054" t="str">
        <f>$A$2</f>
        <v xml:space="preserve">School Year 2020-2021 </v>
      </c>
      <c r="B157" s="1055"/>
      <c r="C157" s="1055"/>
      <c r="D157" s="1055"/>
      <c r="E157" s="1055"/>
      <c r="F157" s="1056"/>
      <c r="G157" s="602"/>
      <c r="H157" s="602"/>
      <c r="I157" s="495"/>
      <c r="J157" s="182"/>
      <c r="K157" s="182"/>
      <c r="L157" s="182"/>
      <c r="M157" s="182"/>
    </row>
    <row r="158" spans="1:13" s="247" customFormat="1" x14ac:dyDescent="0.25">
      <c r="A158" s="1037" t="s">
        <v>513</v>
      </c>
      <c r="B158" s="1038"/>
      <c r="C158" s="150"/>
      <c r="D158" s="150"/>
      <c r="E158" s="150"/>
      <c r="F158" s="406"/>
      <c r="G158" s="495"/>
      <c r="H158" s="495"/>
      <c r="I158" s="495"/>
      <c r="J158" s="182"/>
      <c r="K158" s="182"/>
      <c r="L158" s="182"/>
      <c r="M158" s="182"/>
    </row>
    <row r="159" spans="1:13" s="247" customFormat="1" ht="14.4" x14ac:dyDescent="0.3">
      <c r="A159" s="407"/>
      <c r="B159" s="353"/>
      <c r="C159" s="354" t="s">
        <v>514</v>
      </c>
      <c r="D159" s="355" t="s">
        <v>515</v>
      </c>
      <c r="E159" s="392"/>
      <c r="F159" s="587"/>
      <c r="G159" s="388"/>
      <c r="H159" s="388"/>
      <c r="I159" s="495"/>
      <c r="J159" s="182"/>
      <c r="K159" s="182"/>
      <c r="L159" s="182"/>
      <c r="M159" s="182"/>
    </row>
    <row r="160" spans="1:13" s="247" customFormat="1" ht="14.4" x14ac:dyDescent="0.3">
      <c r="A160" s="407"/>
      <c r="B160" s="353"/>
      <c r="C160" s="356" t="s">
        <v>516</v>
      </c>
      <c r="D160" s="357" t="s">
        <v>517</v>
      </c>
      <c r="E160" s="393"/>
      <c r="F160" s="588"/>
      <c r="G160" s="390"/>
      <c r="H160" s="390"/>
      <c r="I160" s="495"/>
      <c r="J160" s="182"/>
      <c r="K160" s="182"/>
      <c r="L160" s="182"/>
      <c r="M160" s="182"/>
    </row>
    <row r="161" spans="1:13" s="487" customFormat="1" ht="14.4" x14ac:dyDescent="0.3">
      <c r="A161" s="560" t="s">
        <v>641</v>
      </c>
      <c r="B161" s="353"/>
      <c r="C161" s="609">
        <f>'TT entry &amp; transportation'!K61</f>
        <v>9</v>
      </c>
      <c r="D161" s="610">
        <f>'TT entry &amp; transportation'!L61</f>
        <v>33537.339999999997</v>
      </c>
      <c r="E161" s="389"/>
      <c r="F161" s="588"/>
      <c r="G161" s="390"/>
      <c r="H161" s="390"/>
      <c r="I161" s="495"/>
      <c r="J161" s="182"/>
      <c r="K161" s="182"/>
      <c r="L161" s="182"/>
      <c r="M161" s="182"/>
    </row>
    <row r="162" spans="1:13" s="247" customFormat="1" ht="14.4" x14ac:dyDescent="0.3">
      <c r="A162" s="134" t="s">
        <v>638</v>
      </c>
      <c r="B162" s="150"/>
      <c r="C162" s="433">
        <f>'TT entry &amp; transportation'!$K$60</f>
        <v>30.833349999999999</v>
      </c>
      <c r="D162" s="436">
        <f>C162*$B$172-0.01</f>
        <v>114896.49</v>
      </c>
      <c r="E162" s="150"/>
      <c r="F162" s="406"/>
      <c r="G162" s="967" t="s">
        <v>640</v>
      </c>
      <c r="H162" s="495"/>
      <c r="I162" s="495"/>
    </row>
    <row r="163" spans="1:13" s="247" customFormat="1" x14ac:dyDescent="0.25">
      <c r="A163" s="134" t="s">
        <v>370</v>
      </c>
      <c r="B163" s="150"/>
      <c r="C163" s="433">
        <f>'TT entry &amp; transportation'!$K$62</f>
        <v>11.5</v>
      </c>
      <c r="D163" s="436">
        <f t="shared" ref="D163:D169" si="3">C163*$B$172</f>
        <v>42853.27</v>
      </c>
      <c r="E163" s="150"/>
      <c r="F163" s="406"/>
      <c r="G163" s="495"/>
      <c r="H163" s="495"/>
      <c r="I163" s="495"/>
    </row>
    <row r="164" spans="1:13" s="247" customFormat="1" hidden="1" x14ac:dyDescent="0.25">
      <c r="A164" s="130" t="s">
        <v>530</v>
      </c>
      <c r="B164" s="150"/>
      <c r="C164" s="433">
        <f>'TT entry &amp; transportation'!$K$63</f>
        <v>0</v>
      </c>
      <c r="D164" s="436">
        <f>C164*$B$172</f>
        <v>0</v>
      </c>
      <c r="E164" s="150"/>
      <c r="F164" s="406"/>
      <c r="G164" s="495"/>
      <c r="H164" s="495"/>
      <c r="I164" s="495"/>
    </row>
    <row r="165" spans="1:13" s="247" customFormat="1" x14ac:dyDescent="0.25">
      <c r="A165" s="134" t="s">
        <v>369</v>
      </c>
      <c r="B165" s="150"/>
      <c r="C165" s="433">
        <f>'TT entry &amp; transportation'!$K$64</f>
        <v>12.5</v>
      </c>
      <c r="D165" s="436">
        <f t="shared" si="3"/>
        <v>46579.64</v>
      </c>
      <c r="E165" s="150"/>
      <c r="F165" s="406"/>
      <c r="G165" s="495"/>
      <c r="H165" s="495"/>
      <c r="I165" s="495"/>
    </row>
    <row r="166" spans="1:13" s="247" customFormat="1" x14ac:dyDescent="0.25">
      <c r="A166" s="130" t="s">
        <v>368</v>
      </c>
      <c r="B166" s="150"/>
      <c r="C166" s="433">
        <f>'TT entry &amp; transportation'!$K$65</f>
        <v>5.5</v>
      </c>
      <c r="D166" s="436">
        <f t="shared" si="3"/>
        <v>20495.04</v>
      </c>
      <c r="E166" s="150"/>
      <c r="F166" s="406"/>
      <c r="G166" s="495"/>
      <c r="H166" s="495"/>
      <c r="I166" s="495"/>
    </row>
    <row r="167" spans="1:13" s="247" customFormat="1" x14ac:dyDescent="0.25">
      <c r="A167" s="130" t="s">
        <v>32</v>
      </c>
      <c r="B167" s="150"/>
      <c r="C167" s="433">
        <f>'TT entry &amp; transportation'!$K$66</f>
        <v>9</v>
      </c>
      <c r="D167" s="436">
        <f t="shared" si="3"/>
        <v>33537.339999999997</v>
      </c>
      <c r="E167" s="130" t="s">
        <v>1</v>
      </c>
      <c r="F167" s="406"/>
      <c r="G167" s="495"/>
      <c r="H167" s="495"/>
      <c r="I167" s="495"/>
    </row>
    <row r="168" spans="1:13" s="247" customFormat="1" x14ac:dyDescent="0.25">
      <c r="A168" s="134" t="s">
        <v>366</v>
      </c>
      <c r="B168" s="150"/>
      <c r="C168" s="433">
        <f>'TT entry &amp; transportation'!$K$67</f>
        <v>9.5</v>
      </c>
      <c r="D168" s="436">
        <f t="shared" si="3"/>
        <v>35400.519999999997</v>
      </c>
      <c r="E168" s="130" t="s">
        <v>1</v>
      </c>
      <c r="F168" s="406"/>
      <c r="G168" s="495"/>
      <c r="H168" s="495"/>
      <c r="I168" s="495"/>
    </row>
    <row r="169" spans="1:13" s="247" customFormat="1" x14ac:dyDescent="0.25">
      <c r="A169" s="130" t="s">
        <v>538</v>
      </c>
      <c r="B169" s="150"/>
      <c r="C169" s="433">
        <f>'TT entry &amp; transportation'!$K$69</f>
        <v>2</v>
      </c>
      <c r="D169" s="436">
        <f t="shared" si="3"/>
        <v>7452.74</v>
      </c>
      <c r="E169" s="150"/>
      <c r="F169" s="406"/>
      <c r="G169" s="495"/>
      <c r="H169" s="495"/>
      <c r="I169" s="495"/>
    </row>
    <row r="170" spans="1:13" s="487" customFormat="1" hidden="1" x14ac:dyDescent="0.25">
      <c r="A170" s="130" t="s">
        <v>15</v>
      </c>
      <c r="B170" s="150"/>
      <c r="C170" s="433">
        <f>'TT entry &amp; transportation'!K70</f>
        <v>0</v>
      </c>
      <c r="D170" s="437">
        <f>'TT entry &amp; transportation'!L70</f>
        <v>0</v>
      </c>
      <c r="E170" s="150"/>
      <c r="F170" s="406"/>
      <c r="G170" s="495"/>
      <c r="H170" s="495"/>
      <c r="I170" s="495"/>
    </row>
    <row r="171" spans="1:13" s="247" customFormat="1" ht="14.4" x14ac:dyDescent="0.3">
      <c r="A171" s="1045" t="s">
        <v>518</v>
      </c>
      <c r="B171" s="1046"/>
      <c r="C171" s="360">
        <f>SUM(C162:C169)</f>
        <v>80.833349999999996</v>
      </c>
      <c r="D171" s="361">
        <f>SUM(D161:D170)</f>
        <v>334752.38</v>
      </c>
      <c r="E171" s="424" t="s">
        <v>1</v>
      </c>
      <c r="F171" s="589"/>
      <c r="G171" s="424" t="s">
        <v>532</v>
      </c>
      <c r="H171" s="425"/>
      <c r="I171" s="425">
        <f>'TT entry &amp; transportation'!$M$71</f>
        <v>334752.38</v>
      </c>
      <c r="J171" s="133"/>
      <c r="K171" s="133"/>
      <c r="L171" s="133"/>
      <c r="M171" s="133"/>
    </row>
    <row r="172" spans="1:13" s="247" customFormat="1" ht="14.4" x14ac:dyDescent="0.3">
      <c r="A172" s="409" t="s">
        <v>596</v>
      </c>
      <c r="B172" s="448">
        <f>'TT entry &amp; transportation'!$B$266</f>
        <v>3726.3709260000001</v>
      </c>
      <c r="C172" s="150"/>
      <c r="D172" s="150"/>
      <c r="E172" s="427" t="s">
        <v>1</v>
      </c>
      <c r="F172" s="176"/>
      <c r="G172" s="427" t="s">
        <v>533</v>
      </c>
      <c r="H172" s="175"/>
      <c r="I172" s="430">
        <f>'Payment T&amp;T LAWSON'!$I$28</f>
        <v>334752.38</v>
      </c>
    </row>
    <row r="173" spans="1:13" s="247" customFormat="1" x14ac:dyDescent="0.25">
      <c r="A173" s="413"/>
      <c r="B173" s="150"/>
      <c r="C173" s="150"/>
      <c r="D173" s="150"/>
      <c r="E173" s="150"/>
      <c r="F173" s="406"/>
      <c r="G173" s="495"/>
      <c r="H173" s="495"/>
      <c r="I173" s="495"/>
    </row>
    <row r="174" spans="1:13" s="247" customFormat="1" ht="14.4" x14ac:dyDescent="0.3">
      <c r="A174" s="1049" t="s">
        <v>546</v>
      </c>
      <c r="B174" s="1050"/>
      <c r="C174" s="612">
        <f>'CTE TRANS'!$AL$28</f>
        <v>451.5</v>
      </c>
      <c r="D174" s="452"/>
      <c r="E174" s="427" t="s">
        <v>1</v>
      </c>
      <c r="F174" s="597"/>
      <c r="G174" s="427" t="s">
        <v>1</v>
      </c>
      <c r="H174" s="427"/>
      <c r="I174" s="430" t="s">
        <v>1</v>
      </c>
      <c r="J174" s="182"/>
      <c r="K174" s="182"/>
      <c r="L174" s="182"/>
      <c r="M174" s="182"/>
    </row>
    <row r="175" spans="1:13" s="247" customFormat="1" ht="14.4" x14ac:dyDescent="0.3">
      <c r="A175" s="1049" t="s">
        <v>547</v>
      </c>
      <c r="B175" s="1050"/>
      <c r="C175" s="613">
        <f>'TT entry &amp; transportation'!$N$243</f>
        <v>0</v>
      </c>
      <c r="D175" s="416"/>
      <c r="E175" s="427" t="s">
        <v>1</v>
      </c>
      <c r="F175" s="597"/>
      <c r="G175" s="427" t="s">
        <v>1</v>
      </c>
      <c r="H175" s="427"/>
      <c r="I175" s="430" t="s">
        <v>1</v>
      </c>
      <c r="J175" s="182"/>
      <c r="K175" s="182"/>
      <c r="L175" s="182"/>
      <c r="M175" s="182"/>
    </row>
    <row r="176" spans="1:13" s="247" customFormat="1" ht="14.4" x14ac:dyDescent="0.3">
      <c r="A176" s="1045" t="s">
        <v>555</v>
      </c>
      <c r="B176" s="1046"/>
      <c r="C176" s="1060">
        <f>C174+C175</f>
        <v>451.5</v>
      </c>
      <c r="D176" s="1061"/>
      <c r="E176" s="427" t="s">
        <v>1</v>
      </c>
      <c r="F176" s="366"/>
      <c r="G176" s="427" t="s">
        <v>533</v>
      </c>
      <c r="H176" s="427"/>
      <c r="I176" s="430">
        <f>'Payment T&amp;T LAWSON'!$K$28</f>
        <v>451.5</v>
      </c>
      <c r="J176" s="182"/>
      <c r="K176" s="182"/>
      <c r="L176" s="182"/>
      <c r="M176" s="182"/>
    </row>
    <row r="177" spans="1:13" s="247" customFormat="1" x14ac:dyDescent="0.25">
      <c r="A177" s="413"/>
      <c r="B177" s="150"/>
      <c r="C177" s="150"/>
      <c r="D177" s="150"/>
      <c r="E177" s="150"/>
      <c r="F177" s="406"/>
      <c r="G177" s="495"/>
      <c r="H177" s="495"/>
      <c r="I177" s="495"/>
      <c r="J177" s="182"/>
      <c r="K177" s="182"/>
      <c r="L177" s="182"/>
      <c r="M177" s="182"/>
    </row>
    <row r="178" spans="1:13" s="247" customFormat="1" ht="14.4" x14ac:dyDescent="0.3">
      <c r="A178" s="1049" t="s">
        <v>524</v>
      </c>
      <c r="B178" s="1050"/>
      <c r="C178" s="371" t="s">
        <v>1</v>
      </c>
      <c r="D178" s="372" t="s">
        <v>1</v>
      </c>
      <c r="E178" s="150"/>
      <c r="F178" s="406"/>
      <c r="G178" s="495"/>
      <c r="H178" s="495"/>
      <c r="I178" s="495"/>
      <c r="J178" s="182"/>
      <c r="K178" s="182"/>
      <c r="L178" s="182"/>
      <c r="M178" s="182"/>
    </row>
    <row r="179" spans="1:13" s="247" customFormat="1" x14ac:dyDescent="0.25">
      <c r="A179" s="413"/>
      <c r="B179" s="150"/>
      <c r="C179" s="373">
        <f>D171</f>
        <v>334752.38</v>
      </c>
      <c r="D179" s="374" t="s">
        <v>167</v>
      </c>
      <c r="E179" s="150"/>
      <c r="F179" s="406"/>
      <c r="G179" s="495"/>
      <c r="H179" s="495"/>
      <c r="I179" s="495"/>
      <c r="J179" s="182"/>
      <c r="K179" s="182"/>
      <c r="L179" s="182"/>
      <c r="M179" s="182"/>
    </row>
    <row r="180" spans="1:13" s="247" customFormat="1" ht="14.4" x14ac:dyDescent="0.3">
      <c r="A180" s="414" t="s">
        <v>1</v>
      </c>
      <c r="B180" s="375"/>
      <c r="C180" s="386">
        <f>C176</f>
        <v>451.5</v>
      </c>
      <c r="D180" s="377" t="s">
        <v>526</v>
      </c>
      <c r="E180" s="150"/>
      <c r="F180" s="406"/>
      <c r="G180" s="495"/>
      <c r="H180" s="495"/>
      <c r="I180" s="495"/>
      <c r="J180" s="182"/>
      <c r="K180" s="182"/>
      <c r="L180" s="182"/>
      <c r="M180" s="182"/>
    </row>
    <row r="181" spans="1:13" s="247" customFormat="1" ht="14.4" x14ac:dyDescent="0.3">
      <c r="A181" s="1045" t="s">
        <v>527</v>
      </c>
      <c r="B181" s="1046"/>
      <c r="C181" s="1047">
        <f>SUM(C179:C180)</f>
        <v>335203.88</v>
      </c>
      <c r="D181" s="1048"/>
      <c r="E181" s="427" t="s">
        <v>1</v>
      </c>
      <c r="F181" s="366"/>
      <c r="G181" s="427" t="s">
        <v>533</v>
      </c>
      <c r="H181" s="495"/>
      <c r="I181" s="425">
        <f>'Payment T&amp;T LAWSON'!$N$28</f>
        <v>335203.88</v>
      </c>
      <c r="J181" s="182"/>
      <c r="K181" s="182"/>
      <c r="L181" s="182"/>
      <c r="M181" s="182"/>
    </row>
    <row r="182" spans="1:13" s="247" customFormat="1" x14ac:dyDescent="0.25">
      <c r="A182" s="415"/>
      <c r="B182" s="372"/>
      <c r="C182" s="372"/>
      <c r="D182" s="372"/>
      <c r="E182" s="372"/>
      <c r="F182" s="416"/>
      <c r="G182" s="495"/>
      <c r="H182" s="495"/>
      <c r="I182" s="495"/>
    </row>
    <row r="183" spans="1:13" s="247" customFormat="1" x14ac:dyDescent="0.25">
      <c r="A183" s="150"/>
      <c r="B183" s="150"/>
      <c r="C183" s="150"/>
      <c r="D183" s="150"/>
      <c r="E183" s="150"/>
      <c r="F183" s="150"/>
      <c r="G183" s="495"/>
      <c r="H183" s="495"/>
      <c r="I183" s="495"/>
    </row>
    <row r="185" spans="1:13" s="247" customFormat="1" ht="15.6" x14ac:dyDescent="0.3">
      <c r="A185" s="1051" t="s">
        <v>539</v>
      </c>
      <c r="B185" s="1052"/>
      <c r="C185" s="1052"/>
      <c r="D185" s="1052"/>
      <c r="E185" s="1052"/>
      <c r="F185" s="1053"/>
      <c r="G185" s="602"/>
      <c r="H185" s="602"/>
      <c r="I185" s="495"/>
      <c r="J185" s="182"/>
      <c r="K185" s="182"/>
      <c r="L185" s="182"/>
      <c r="M185" s="182"/>
    </row>
    <row r="186" spans="1:13" s="247" customFormat="1" ht="15.6" x14ac:dyDescent="0.3">
      <c r="A186" s="1054" t="str">
        <f>$A$2</f>
        <v xml:space="preserve">School Year 2020-2021 </v>
      </c>
      <c r="B186" s="1055"/>
      <c r="C186" s="1055"/>
      <c r="D186" s="1055"/>
      <c r="E186" s="1055"/>
      <c r="F186" s="1056"/>
      <c r="G186" s="602"/>
      <c r="H186" s="602"/>
      <c r="I186" s="495"/>
      <c r="J186" s="182"/>
      <c r="K186" s="182"/>
      <c r="L186" s="182"/>
      <c r="M186" s="182"/>
    </row>
    <row r="187" spans="1:13" s="247" customFormat="1" x14ac:dyDescent="0.25">
      <c r="A187" s="1037" t="s">
        <v>513</v>
      </c>
      <c r="B187" s="1038"/>
      <c r="C187" s="150"/>
      <c r="D187" s="150"/>
      <c r="E187" s="150"/>
      <c r="F187" s="406"/>
      <c r="G187" s="495"/>
      <c r="H187" s="495"/>
      <c r="I187" s="495"/>
      <c r="J187" s="182"/>
      <c r="K187" s="182"/>
      <c r="L187" s="182"/>
      <c r="M187" s="182"/>
    </row>
    <row r="188" spans="1:13" s="247" customFormat="1" ht="14.4" x14ac:dyDescent="0.3">
      <c r="A188" s="407"/>
      <c r="B188" s="353"/>
      <c r="C188" s="354" t="s">
        <v>514</v>
      </c>
      <c r="D188" s="355" t="s">
        <v>515</v>
      </c>
      <c r="E188" s="392"/>
      <c r="F188" s="587"/>
      <c r="G188" s="388"/>
      <c r="H188" s="388"/>
      <c r="I188" s="495"/>
      <c r="J188" s="182"/>
      <c r="K188" s="182"/>
      <c r="L188" s="182"/>
      <c r="M188" s="182"/>
    </row>
    <row r="189" spans="1:13" s="247" customFormat="1" ht="14.4" x14ac:dyDescent="0.3">
      <c r="A189" s="407"/>
      <c r="B189" s="353"/>
      <c r="C189" s="356" t="s">
        <v>516</v>
      </c>
      <c r="D189" s="357" t="s">
        <v>517</v>
      </c>
      <c r="E189" s="393"/>
      <c r="F189" s="588"/>
      <c r="G189" s="390"/>
      <c r="H189" s="390"/>
      <c r="I189" s="495"/>
      <c r="J189" s="182"/>
      <c r="K189" s="182"/>
      <c r="L189" s="182"/>
      <c r="M189" s="182"/>
    </row>
    <row r="190" spans="1:13" s="247" customFormat="1" ht="14.4" x14ac:dyDescent="0.3">
      <c r="A190" s="130" t="s">
        <v>160</v>
      </c>
      <c r="B190" s="408"/>
      <c r="C190" s="384">
        <f>'TT entry &amp; transportation'!$K$72</f>
        <v>0</v>
      </c>
      <c r="D190" s="358">
        <f>C190*B192</f>
        <v>0</v>
      </c>
      <c r="E190" s="130" t="s">
        <v>1</v>
      </c>
      <c r="F190" s="176"/>
      <c r="G190" s="391"/>
      <c r="H190" s="593"/>
      <c r="I190" s="599"/>
      <c r="J190" s="133"/>
      <c r="K190" s="133"/>
      <c r="L190" s="133"/>
      <c r="M190" s="133"/>
    </row>
    <row r="191" spans="1:13" s="247" customFormat="1" ht="14.4" x14ac:dyDescent="0.3">
      <c r="A191" s="1045" t="s">
        <v>518</v>
      </c>
      <c r="B191" s="1046"/>
      <c r="C191" s="360">
        <f>SUM(C190:C190)</f>
        <v>0</v>
      </c>
      <c r="D191" s="361">
        <f>SUM(D190:D190)</f>
        <v>0</v>
      </c>
      <c r="E191" s="424" t="s">
        <v>1</v>
      </c>
      <c r="F191" s="589"/>
      <c r="G191" s="424" t="s">
        <v>532</v>
      </c>
      <c r="H191" s="425"/>
      <c r="I191" s="425">
        <f>'TT entry &amp; transportation'!$M$74</f>
        <v>0</v>
      </c>
      <c r="J191" s="133"/>
      <c r="K191" s="133"/>
      <c r="L191" s="133"/>
      <c r="M191" s="133"/>
    </row>
    <row r="192" spans="1:13" s="182" customFormat="1" x14ac:dyDescent="0.25">
      <c r="A192" s="409" t="s">
        <v>596</v>
      </c>
      <c r="B192" s="448">
        <f>'TT entry &amp; transportation'!$B$266</f>
        <v>3726.3709260000001</v>
      </c>
      <c r="C192" s="385" t="s">
        <v>1</v>
      </c>
      <c r="D192" s="175"/>
      <c r="E192" s="427" t="s">
        <v>1</v>
      </c>
      <c r="F192" s="176"/>
      <c r="G192" s="427" t="s">
        <v>533</v>
      </c>
      <c r="H192" s="175"/>
      <c r="I192" s="425">
        <f>'Payment T&amp;T LAWSON'!$I$30</f>
        <v>0</v>
      </c>
      <c r="J192" s="133"/>
      <c r="K192" s="133"/>
      <c r="L192" s="133"/>
      <c r="M192" s="133"/>
    </row>
    <row r="193" spans="1:13" s="182" customFormat="1" ht="14.4" x14ac:dyDescent="0.3">
      <c r="A193" s="410"/>
      <c r="B193" s="411"/>
      <c r="C193" s="175"/>
      <c r="D193" s="175"/>
      <c r="E193" s="175"/>
      <c r="F193" s="176"/>
      <c r="G193" s="175"/>
      <c r="H193" s="175"/>
      <c r="I193" s="363"/>
      <c r="J193" s="133"/>
      <c r="K193" s="133"/>
      <c r="L193" s="133"/>
      <c r="M193" s="133"/>
    </row>
    <row r="194" spans="1:13" s="247" customFormat="1" ht="14.4" x14ac:dyDescent="0.3">
      <c r="A194" s="1049" t="s">
        <v>523</v>
      </c>
      <c r="B194" s="1050"/>
      <c r="C194" s="412">
        <f>'CTE TRANS'!$AL$30</f>
        <v>2439.1999999999998</v>
      </c>
      <c r="D194" s="150"/>
      <c r="E194" s="427" t="s">
        <v>1</v>
      </c>
      <c r="F194" s="406"/>
      <c r="G194" s="427" t="s">
        <v>533</v>
      </c>
      <c r="H194" s="495"/>
      <c r="I194" s="425">
        <f>'Payment T&amp;T LAWSON'!$K$30</f>
        <v>2439.1999999999998</v>
      </c>
      <c r="J194" s="182"/>
      <c r="K194" s="182"/>
      <c r="L194" s="182"/>
      <c r="M194" s="182"/>
    </row>
    <row r="195" spans="1:13" s="247" customFormat="1" x14ac:dyDescent="0.25">
      <c r="A195" s="413"/>
      <c r="B195" s="150"/>
      <c r="C195" s="150"/>
      <c r="D195" s="150"/>
      <c r="E195" s="150"/>
      <c r="F195" s="406"/>
      <c r="G195" s="495"/>
      <c r="H195" s="495"/>
      <c r="I195" s="495"/>
      <c r="J195" s="182"/>
      <c r="K195" s="182"/>
      <c r="L195" s="182"/>
      <c r="M195" s="182"/>
    </row>
    <row r="196" spans="1:13" s="247" customFormat="1" ht="14.4" x14ac:dyDescent="0.3">
      <c r="A196" s="1049" t="s">
        <v>524</v>
      </c>
      <c r="B196" s="1050"/>
      <c r="C196" s="371" t="s">
        <v>1</v>
      </c>
      <c r="D196" s="372" t="s">
        <v>1</v>
      </c>
      <c r="E196" s="150"/>
      <c r="F196" s="406"/>
      <c r="G196" s="495"/>
      <c r="H196" s="495"/>
      <c r="I196" s="495"/>
      <c r="J196" s="182"/>
      <c r="K196" s="182"/>
      <c r="L196" s="182"/>
      <c r="M196" s="182"/>
    </row>
    <row r="197" spans="1:13" s="247" customFormat="1" x14ac:dyDescent="0.25">
      <c r="A197" s="413"/>
      <c r="B197" s="150"/>
      <c r="C197" s="373">
        <f>D191</f>
        <v>0</v>
      </c>
      <c r="D197" s="374" t="s">
        <v>167</v>
      </c>
      <c r="E197" s="150"/>
      <c r="F197" s="406"/>
      <c r="G197" s="495"/>
      <c r="H197" s="495"/>
      <c r="I197" s="495"/>
      <c r="J197" s="182"/>
      <c r="K197" s="182"/>
      <c r="L197" s="182"/>
      <c r="M197" s="182"/>
    </row>
    <row r="198" spans="1:13" s="247" customFormat="1" ht="14.4" x14ac:dyDescent="0.3">
      <c r="A198" s="414" t="s">
        <v>1</v>
      </c>
      <c r="B198" s="375"/>
      <c r="C198" s="386">
        <f>C194</f>
        <v>2439.1999999999998</v>
      </c>
      <c r="D198" s="377" t="s">
        <v>526</v>
      </c>
      <c r="E198" s="150"/>
      <c r="F198" s="406"/>
      <c r="G198" s="495"/>
      <c r="H198" s="495"/>
      <c r="I198" s="495"/>
      <c r="J198" s="182"/>
      <c r="K198" s="182"/>
      <c r="L198" s="182"/>
      <c r="M198" s="182"/>
    </row>
    <row r="199" spans="1:13" s="247" customFormat="1" ht="14.4" x14ac:dyDescent="0.3">
      <c r="A199" s="1045" t="s">
        <v>527</v>
      </c>
      <c r="B199" s="1046"/>
      <c r="C199" s="1047">
        <f>SUM(C197:C198)</f>
        <v>2439.1999999999998</v>
      </c>
      <c r="D199" s="1048"/>
      <c r="E199" s="427" t="s">
        <v>1</v>
      </c>
      <c r="F199" s="406"/>
      <c r="G199" s="427" t="s">
        <v>533</v>
      </c>
      <c r="H199" s="495"/>
      <c r="I199" s="425">
        <f>'Payment T&amp;T LAWSON'!$N$30</f>
        <v>2439.1999999999998</v>
      </c>
      <c r="J199" s="182"/>
      <c r="K199" s="182"/>
      <c r="L199" s="182"/>
      <c r="M199" s="182"/>
    </row>
    <row r="200" spans="1:13" s="247" customFormat="1" x14ac:dyDescent="0.25">
      <c r="A200" s="415"/>
      <c r="B200" s="372"/>
      <c r="C200" s="372"/>
      <c r="D200" s="372"/>
      <c r="E200" s="372"/>
      <c r="F200" s="416"/>
      <c r="G200" s="495"/>
      <c r="H200" s="495"/>
      <c r="I200" s="495"/>
    </row>
    <row r="201" spans="1:13" s="247" customFormat="1" x14ac:dyDescent="0.25">
      <c r="A201" s="150"/>
      <c r="B201" s="150"/>
      <c r="C201" s="150"/>
      <c r="D201" s="150"/>
      <c r="E201" s="150"/>
      <c r="F201" s="150"/>
      <c r="G201" s="495"/>
      <c r="H201" s="495"/>
      <c r="I201" s="495"/>
    </row>
    <row r="203" spans="1:13" s="247" customFormat="1" ht="15.6" x14ac:dyDescent="0.3">
      <c r="A203" s="1051" t="s">
        <v>540</v>
      </c>
      <c r="B203" s="1052"/>
      <c r="C203" s="1052"/>
      <c r="D203" s="1052"/>
      <c r="E203" s="1052"/>
      <c r="F203" s="1053"/>
      <c r="G203" s="602"/>
      <c r="H203" s="602"/>
      <c r="I203" s="495" t="s">
        <v>575</v>
      </c>
      <c r="J203" s="182"/>
      <c r="K203" s="182"/>
      <c r="L203" s="182"/>
      <c r="M203" s="182"/>
    </row>
    <row r="204" spans="1:13" s="247" customFormat="1" ht="15.6" x14ac:dyDescent="0.3">
      <c r="A204" s="1054" t="str">
        <f>$A$2</f>
        <v xml:space="preserve">School Year 2020-2021 </v>
      </c>
      <c r="B204" s="1055"/>
      <c r="C204" s="1055"/>
      <c r="D204" s="1055"/>
      <c r="E204" s="1055"/>
      <c r="F204" s="1056"/>
      <c r="G204" s="602"/>
      <c r="H204" s="602"/>
      <c r="I204" s="603" t="s">
        <v>576</v>
      </c>
      <c r="J204" s="182"/>
      <c r="K204" s="182"/>
      <c r="L204" s="182"/>
      <c r="M204" s="182"/>
    </row>
    <row r="205" spans="1:13" s="247" customFormat="1" x14ac:dyDescent="0.25">
      <c r="A205" s="1037" t="s">
        <v>513</v>
      </c>
      <c r="B205" s="1038"/>
      <c r="C205" s="150"/>
      <c r="D205" s="150"/>
      <c r="E205" s="150"/>
      <c r="F205" s="406"/>
      <c r="G205" s="495"/>
      <c r="H205" s="495"/>
      <c r="I205" s="495" t="s">
        <v>577</v>
      </c>
      <c r="J205" s="182"/>
      <c r="K205" s="182"/>
      <c r="L205" s="182"/>
      <c r="M205" s="182"/>
    </row>
    <row r="206" spans="1:13" s="247" customFormat="1" ht="14.4" x14ac:dyDescent="0.3">
      <c r="A206" s="407"/>
      <c r="B206" s="353"/>
      <c r="C206" s="354" t="s">
        <v>514</v>
      </c>
      <c r="D206" s="355" t="s">
        <v>515</v>
      </c>
      <c r="E206" s="392"/>
      <c r="F206" s="587"/>
      <c r="G206" s="388"/>
      <c r="H206" s="388"/>
      <c r="I206" s="495"/>
      <c r="J206" s="182"/>
      <c r="K206" s="182"/>
      <c r="L206" s="182"/>
      <c r="M206" s="182"/>
    </row>
    <row r="207" spans="1:13" s="247" customFormat="1" ht="14.4" x14ac:dyDescent="0.3">
      <c r="A207" s="407"/>
      <c r="B207" s="353"/>
      <c r="C207" s="356" t="s">
        <v>516</v>
      </c>
      <c r="D207" s="357" t="s">
        <v>517</v>
      </c>
      <c r="E207" s="393"/>
      <c r="F207" s="588"/>
      <c r="G207" s="390"/>
      <c r="H207" s="390"/>
      <c r="I207" s="495"/>
      <c r="J207" s="182"/>
      <c r="K207" s="182"/>
      <c r="L207" s="182"/>
      <c r="M207" s="182"/>
    </row>
    <row r="208" spans="1:13" s="487" customFormat="1" ht="14.4" hidden="1" x14ac:dyDescent="0.3">
      <c r="A208" s="560" t="s">
        <v>511</v>
      </c>
      <c r="B208" s="353"/>
      <c r="C208" s="609">
        <f>'TT entry &amp; transportation'!K75</f>
        <v>0</v>
      </c>
      <c r="D208" s="610">
        <f>'TT entry &amp; transportation'!L75</f>
        <v>0</v>
      </c>
      <c r="E208" s="393"/>
      <c r="F208" s="588"/>
      <c r="G208" s="390"/>
      <c r="H208" s="390"/>
      <c r="I208" s="495"/>
      <c r="J208" s="182"/>
      <c r="K208" s="182"/>
      <c r="L208" s="182"/>
      <c r="M208" s="182"/>
    </row>
    <row r="209" spans="1:13" s="487" customFormat="1" ht="14.4" hidden="1" x14ac:dyDescent="0.3">
      <c r="A209" s="560" t="s">
        <v>598</v>
      </c>
      <c r="B209" s="353"/>
      <c r="C209" s="608">
        <f>'TT entry &amp; transportation'!K76</f>
        <v>0</v>
      </c>
      <c r="D209" s="607">
        <f>'TT entry &amp; transportation'!L76</f>
        <v>0</v>
      </c>
      <c r="E209" s="393"/>
      <c r="F209" s="588"/>
      <c r="G209" s="390"/>
      <c r="H209" s="390"/>
      <c r="I209" s="495"/>
      <c r="J209" s="182"/>
      <c r="K209" s="182"/>
      <c r="L209" s="182"/>
      <c r="M209" s="182"/>
    </row>
    <row r="210" spans="1:13" s="247" customFormat="1" ht="14.4" x14ac:dyDescent="0.3">
      <c r="A210" s="130" t="s">
        <v>895</v>
      </c>
      <c r="B210" s="408"/>
      <c r="C210" s="395">
        <f>'TT entry &amp; transportation'!$K$77</f>
        <v>16.333349999999999</v>
      </c>
      <c r="D210" s="446">
        <f>C210*B214</f>
        <v>60864.12</v>
      </c>
      <c r="E210" s="174"/>
      <c r="F210" s="176"/>
      <c r="G210" s="391"/>
      <c r="H210" s="593"/>
      <c r="I210" s="599"/>
      <c r="J210" s="133"/>
      <c r="K210" s="133"/>
      <c r="L210" s="133"/>
      <c r="M210" s="133"/>
    </row>
    <row r="211" spans="1:13" s="247" customFormat="1" ht="14.4" x14ac:dyDescent="0.3">
      <c r="A211" s="134" t="s">
        <v>35</v>
      </c>
      <c r="B211" s="408"/>
      <c r="C211" s="395">
        <f>'TT entry &amp; transportation'!$K$78</f>
        <v>27.166699999999999</v>
      </c>
      <c r="D211" s="446">
        <f>C211*B214</f>
        <v>101233.2</v>
      </c>
      <c r="E211" s="174"/>
      <c r="F211" s="176"/>
      <c r="G211" s="493" t="s">
        <v>1</v>
      </c>
      <c r="H211" s="593"/>
      <c r="I211" s="599"/>
      <c r="J211" s="133"/>
      <c r="K211" s="133"/>
      <c r="L211" s="133"/>
      <c r="M211" s="133"/>
    </row>
    <row r="212" spans="1:13" s="247" customFormat="1" ht="14.4" hidden="1" x14ac:dyDescent="0.3">
      <c r="A212" s="130" t="s">
        <v>643</v>
      </c>
      <c r="B212" s="408"/>
      <c r="C212" s="611">
        <f>'TT entry &amp; transportation'!$K$188</f>
        <v>0</v>
      </c>
      <c r="D212" s="447">
        <f>'TT entry &amp; transportation'!L188</f>
        <v>0</v>
      </c>
      <c r="E212" s="130" t="s">
        <v>1</v>
      </c>
      <c r="F212" s="176"/>
      <c r="G212" s="391"/>
      <c r="H212" s="593"/>
      <c r="I212" s="599"/>
      <c r="J212" s="133"/>
      <c r="K212" s="133"/>
      <c r="L212" s="133"/>
      <c r="M212" s="133"/>
    </row>
    <row r="213" spans="1:13" s="247" customFormat="1" ht="14.4" x14ac:dyDescent="0.3">
      <c r="A213" s="1045" t="s">
        <v>518</v>
      </c>
      <c r="B213" s="1046"/>
      <c r="C213" s="360">
        <f>SUM(C210:C212)</f>
        <v>43.500050000000002</v>
      </c>
      <c r="D213" s="361">
        <f>SUM(D208:D212)</f>
        <v>162097.32</v>
      </c>
      <c r="E213" s="424" t="s">
        <v>1</v>
      </c>
      <c r="F213" s="589"/>
      <c r="G213" s="424" t="s">
        <v>532</v>
      </c>
      <c r="H213" s="425"/>
      <c r="I213" s="425">
        <f>'TT entry &amp; transportation'!$M$79+'TT entry &amp; transportation'!$L$188</f>
        <v>162097.32</v>
      </c>
      <c r="J213" s="133"/>
      <c r="K213" s="133"/>
      <c r="L213" s="133"/>
      <c r="M213" s="133"/>
    </row>
    <row r="214" spans="1:13" s="182" customFormat="1" x14ac:dyDescent="0.25">
      <c r="A214" s="409" t="s">
        <v>596</v>
      </c>
      <c r="B214" s="448">
        <f>'TT entry &amp; transportation'!$B$266</f>
        <v>3726.3709260000001</v>
      </c>
      <c r="C214" s="385" t="s">
        <v>1</v>
      </c>
      <c r="D214" s="175"/>
      <c r="E214" s="427" t="s">
        <v>1</v>
      </c>
      <c r="F214" s="176"/>
      <c r="G214" s="427" t="s">
        <v>533</v>
      </c>
      <c r="H214" s="175"/>
      <c r="I214" s="428">
        <f>'Payment T&amp;T LAWSON'!$I$32</f>
        <v>162097.32</v>
      </c>
      <c r="J214" s="133"/>
      <c r="K214" s="133"/>
      <c r="L214" s="133"/>
      <c r="M214" s="133"/>
    </row>
    <row r="215" spans="1:13" s="182" customFormat="1" ht="14.4" x14ac:dyDescent="0.3">
      <c r="A215" s="410"/>
      <c r="B215" s="411"/>
      <c r="C215" s="175"/>
      <c r="D215" s="175"/>
      <c r="E215" s="175"/>
      <c r="F215" s="176"/>
      <c r="G215" s="175"/>
      <c r="H215" s="175"/>
      <c r="I215" s="363"/>
      <c r="J215" s="133"/>
      <c r="K215" s="133"/>
      <c r="L215" s="133"/>
      <c r="M215" s="133"/>
    </row>
    <row r="216" spans="1:13" s="247" customFormat="1" ht="14.4" x14ac:dyDescent="0.3">
      <c r="A216" s="1049" t="s">
        <v>523</v>
      </c>
      <c r="B216" s="1050"/>
      <c r="C216" s="412">
        <f>'CTE TRANS'!$AL$33</f>
        <v>3196.8</v>
      </c>
      <c r="D216" s="150"/>
      <c r="E216" s="427" t="s">
        <v>1</v>
      </c>
      <c r="F216" s="406"/>
      <c r="G216" s="427" t="s">
        <v>533</v>
      </c>
      <c r="H216" s="495"/>
      <c r="I216" s="425">
        <f>'Payment T&amp;T LAWSON'!$K$32</f>
        <v>3196.8</v>
      </c>
      <c r="J216" s="182"/>
      <c r="K216" s="182"/>
      <c r="L216" s="182"/>
      <c r="M216" s="182"/>
    </row>
    <row r="217" spans="1:13" s="247" customFormat="1" x14ac:dyDescent="0.25">
      <c r="A217" s="413"/>
      <c r="B217" s="150"/>
      <c r="C217" s="150"/>
      <c r="D217" s="150"/>
      <c r="E217" s="150"/>
      <c r="F217" s="406"/>
      <c r="G217" s="495"/>
      <c r="H217" s="495"/>
      <c r="I217" s="495"/>
      <c r="J217" s="182"/>
      <c r="K217" s="182"/>
      <c r="L217" s="182"/>
      <c r="M217" s="182"/>
    </row>
    <row r="218" spans="1:13" s="247" customFormat="1" ht="14.4" x14ac:dyDescent="0.3">
      <c r="A218" s="1049" t="s">
        <v>524</v>
      </c>
      <c r="B218" s="1050"/>
      <c r="C218" s="371" t="s">
        <v>1</v>
      </c>
      <c r="D218" s="372" t="s">
        <v>1</v>
      </c>
      <c r="E218" s="150"/>
      <c r="F218" s="406"/>
      <c r="G218" s="495"/>
      <c r="H218" s="495"/>
      <c r="I218" s="495"/>
      <c r="J218" s="182"/>
      <c r="K218" s="182"/>
      <c r="L218" s="182"/>
      <c r="M218" s="182"/>
    </row>
    <row r="219" spans="1:13" s="247" customFormat="1" x14ac:dyDescent="0.25">
      <c r="A219" s="413"/>
      <c r="B219" s="150"/>
      <c r="C219" s="373">
        <f>D213</f>
        <v>162097.32</v>
      </c>
      <c r="D219" s="374" t="s">
        <v>167</v>
      </c>
      <c r="E219" s="150"/>
      <c r="F219" s="406"/>
      <c r="G219" s="495"/>
      <c r="H219" s="495"/>
      <c r="I219" s="495"/>
      <c r="J219" s="182"/>
      <c r="K219" s="182"/>
      <c r="L219" s="182"/>
      <c r="M219" s="182"/>
    </row>
    <row r="220" spans="1:13" s="247" customFormat="1" ht="14.4" x14ac:dyDescent="0.3">
      <c r="A220" s="414" t="s">
        <v>1</v>
      </c>
      <c r="B220" s="375"/>
      <c r="C220" s="386">
        <f>C216</f>
        <v>3196.8</v>
      </c>
      <c r="D220" s="377" t="s">
        <v>526</v>
      </c>
      <c r="E220" s="150"/>
      <c r="F220" s="406"/>
      <c r="G220" s="495"/>
      <c r="H220" s="495"/>
      <c r="I220" s="495"/>
      <c r="J220" s="182"/>
      <c r="K220" s="182"/>
      <c r="L220" s="182"/>
      <c r="M220" s="182"/>
    </row>
    <row r="221" spans="1:13" s="247" customFormat="1" ht="14.4" x14ac:dyDescent="0.3">
      <c r="A221" s="1045" t="s">
        <v>527</v>
      </c>
      <c r="B221" s="1046"/>
      <c r="C221" s="1047">
        <f>SUM(C219:C220)</f>
        <v>165294.12</v>
      </c>
      <c r="D221" s="1048"/>
      <c r="E221" s="427" t="s">
        <v>1</v>
      </c>
      <c r="F221" s="406"/>
      <c r="G221" s="427" t="s">
        <v>533</v>
      </c>
      <c r="H221" s="495"/>
      <c r="I221" s="425">
        <f>'Payment T&amp;T LAWSON'!$N$32</f>
        <v>165294.12</v>
      </c>
      <c r="J221" s="182"/>
      <c r="K221" s="182"/>
      <c r="L221" s="182"/>
      <c r="M221" s="182"/>
    </row>
    <row r="222" spans="1:13" s="247" customFormat="1" x14ac:dyDescent="0.25">
      <c r="A222" s="415"/>
      <c r="B222" s="372"/>
      <c r="C222" s="372"/>
      <c r="D222" s="372"/>
      <c r="E222" s="372"/>
      <c r="F222" s="416"/>
      <c r="G222" s="495"/>
      <c r="H222" s="495"/>
      <c r="I222" s="495"/>
    </row>
    <row r="223" spans="1:13" s="247" customFormat="1" x14ac:dyDescent="0.25">
      <c r="A223" s="150"/>
      <c r="B223" s="150"/>
      <c r="C223" s="150"/>
      <c r="D223" s="150"/>
      <c r="E223" s="150"/>
      <c r="F223" s="150"/>
      <c r="G223" s="495"/>
      <c r="H223" s="495"/>
      <c r="I223" s="495"/>
    </row>
    <row r="225" spans="1:13" s="247" customFormat="1" ht="15.6" x14ac:dyDescent="0.3">
      <c r="A225" s="1051" t="s">
        <v>541</v>
      </c>
      <c r="B225" s="1052"/>
      <c r="C225" s="1052"/>
      <c r="D225" s="1052"/>
      <c r="E225" s="1052"/>
      <c r="F225" s="1053"/>
      <c r="G225" s="602"/>
      <c r="H225" s="602"/>
      <c r="I225" s="495"/>
      <c r="J225" s="182"/>
      <c r="K225" s="182"/>
      <c r="L225" s="182"/>
      <c r="M225" s="182"/>
    </row>
    <row r="226" spans="1:13" s="247" customFormat="1" ht="15.6" x14ac:dyDescent="0.3">
      <c r="A226" s="1054" t="str">
        <f>$A$2</f>
        <v xml:space="preserve">School Year 2020-2021 </v>
      </c>
      <c r="B226" s="1055"/>
      <c r="C226" s="1055"/>
      <c r="D226" s="1055"/>
      <c r="E226" s="1055"/>
      <c r="F226" s="1056"/>
      <c r="G226" s="602"/>
      <c r="H226" s="602"/>
      <c r="I226" s="495"/>
      <c r="J226" s="182"/>
      <c r="K226" s="182"/>
      <c r="L226" s="182"/>
      <c r="M226" s="182"/>
    </row>
    <row r="227" spans="1:13" s="247" customFormat="1" x14ac:dyDescent="0.25">
      <c r="A227" s="1037" t="s">
        <v>513</v>
      </c>
      <c r="B227" s="1038"/>
      <c r="C227" s="150"/>
      <c r="D227" s="150"/>
      <c r="E227" s="150"/>
      <c r="F227" s="406"/>
      <c r="G227" s="495"/>
      <c r="H227" s="495"/>
      <c r="I227" s="495"/>
      <c r="J227" s="182"/>
      <c r="K227" s="182"/>
      <c r="L227" s="182"/>
      <c r="M227" s="182"/>
    </row>
    <row r="228" spans="1:13" s="247" customFormat="1" ht="14.4" x14ac:dyDescent="0.3">
      <c r="A228" s="407"/>
      <c r="B228" s="353"/>
      <c r="C228" s="354" t="s">
        <v>514</v>
      </c>
      <c r="D228" s="355" t="s">
        <v>515</v>
      </c>
      <c r="E228" s="392"/>
      <c r="F228" s="587"/>
      <c r="G228" s="388"/>
      <c r="H228" s="388"/>
      <c r="I228" s="495"/>
      <c r="J228" s="182"/>
      <c r="K228" s="182"/>
      <c r="L228" s="182"/>
      <c r="M228" s="182"/>
    </row>
    <row r="229" spans="1:13" s="247" customFormat="1" ht="14.4" x14ac:dyDescent="0.3">
      <c r="A229" s="407"/>
      <c r="B229" s="353"/>
      <c r="C229" s="356" t="s">
        <v>516</v>
      </c>
      <c r="D229" s="357" t="s">
        <v>517</v>
      </c>
      <c r="E229" s="393"/>
      <c r="F229" s="588"/>
      <c r="G229" s="390"/>
      <c r="H229" s="390"/>
      <c r="I229" s="495"/>
      <c r="J229" s="182"/>
      <c r="K229" s="182"/>
      <c r="L229" s="182"/>
      <c r="M229" s="182"/>
    </row>
    <row r="230" spans="1:13" s="247" customFormat="1" ht="14.4" x14ac:dyDescent="0.3">
      <c r="A230" s="130" t="s">
        <v>138</v>
      </c>
      <c r="B230" s="408"/>
      <c r="C230" s="384">
        <f>'TT entry &amp; transportation'!$K$80</f>
        <v>6.6666499999999997</v>
      </c>
      <c r="D230" s="358">
        <f>C230*B234</f>
        <v>24842.41</v>
      </c>
      <c r="E230" s="174"/>
      <c r="F230" s="176"/>
      <c r="G230" s="391"/>
      <c r="H230" s="593"/>
      <c r="I230" s="599"/>
      <c r="J230" s="133"/>
      <c r="K230" s="133"/>
      <c r="L230" s="133"/>
      <c r="M230" s="133"/>
    </row>
    <row r="231" spans="1:13" s="864" customFormat="1" ht="14.4" x14ac:dyDescent="0.3">
      <c r="A231" s="130" t="s">
        <v>35</v>
      </c>
      <c r="B231" s="408"/>
      <c r="C231" s="384">
        <f>'TT entry &amp; transportation'!$K$82</f>
        <v>2</v>
      </c>
      <c r="D231" s="358">
        <f>C231*B234</f>
        <v>7452.74</v>
      </c>
      <c r="E231" s="174"/>
      <c r="F231" s="176"/>
      <c r="G231" s="391"/>
      <c r="H231" s="593"/>
      <c r="I231" s="599"/>
      <c r="J231" s="782"/>
      <c r="K231" s="782"/>
      <c r="L231" s="782"/>
      <c r="M231" s="782"/>
    </row>
    <row r="232" spans="1:13" s="247" customFormat="1" ht="14.4" x14ac:dyDescent="0.3">
      <c r="A232" s="134" t="s">
        <v>55</v>
      </c>
      <c r="B232" s="408"/>
      <c r="C232" s="384">
        <f>'TT entry &amp; transportation'!$K$206</f>
        <v>17.5</v>
      </c>
      <c r="D232" s="358">
        <f>C232*B234</f>
        <v>65211.49</v>
      </c>
      <c r="E232" s="174"/>
      <c r="F232" s="176"/>
      <c r="G232" s="391"/>
      <c r="H232" s="593"/>
      <c r="I232" s="599"/>
      <c r="J232" s="133"/>
      <c r="K232" s="133"/>
      <c r="L232" s="133"/>
      <c r="M232" s="133"/>
    </row>
    <row r="233" spans="1:13" s="247" customFormat="1" ht="14.4" x14ac:dyDescent="0.3">
      <c r="A233" s="1045" t="s">
        <v>518</v>
      </c>
      <c r="B233" s="1046"/>
      <c r="C233" s="360">
        <f>SUM(C230:C232)</f>
        <v>26.166650000000001</v>
      </c>
      <c r="D233" s="361">
        <f>SUM(D230:D232)</f>
        <v>97506.64</v>
      </c>
      <c r="E233" s="424" t="s">
        <v>1</v>
      </c>
      <c r="F233" s="589"/>
      <c r="G233" s="424" t="s">
        <v>532</v>
      </c>
      <c r="H233" s="425"/>
      <c r="I233" s="425">
        <f>'TT entry &amp; transportation'!M83++'TT entry &amp; transportation'!L206</f>
        <v>97506.64</v>
      </c>
      <c r="J233" s="133"/>
      <c r="K233" s="133"/>
      <c r="L233" s="133"/>
      <c r="M233" s="133"/>
    </row>
    <row r="234" spans="1:13" s="182" customFormat="1" x14ac:dyDescent="0.25">
      <c r="A234" s="409" t="s">
        <v>596</v>
      </c>
      <c r="B234" s="448">
        <f>'TT entry &amp; transportation'!$B$266</f>
        <v>3726.3709260000001</v>
      </c>
      <c r="C234" s="385" t="s">
        <v>1</v>
      </c>
      <c r="D234" s="175"/>
      <c r="E234" s="427" t="s">
        <v>1</v>
      </c>
      <c r="F234" s="176"/>
      <c r="G234" s="427" t="s">
        <v>533</v>
      </c>
      <c r="H234" s="175"/>
      <c r="I234" s="428">
        <f>'Payment T&amp;T LAWSON'!$I$16</f>
        <v>97506.64</v>
      </c>
      <c r="J234" s="133"/>
      <c r="K234" s="133"/>
      <c r="L234" s="133"/>
      <c r="M234" s="133"/>
    </row>
    <row r="235" spans="1:13" s="182" customFormat="1" ht="14.4" x14ac:dyDescent="0.3">
      <c r="A235" s="410"/>
      <c r="B235" s="411"/>
      <c r="C235" s="175"/>
      <c r="D235" s="175"/>
      <c r="E235" s="175"/>
      <c r="F235" s="176"/>
      <c r="G235" s="175"/>
      <c r="H235" s="175"/>
      <c r="I235" s="363"/>
      <c r="J235" s="133"/>
      <c r="K235" s="133"/>
      <c r="L235" s="133"/>
      <c r="M235" s="133"/>
    </row>
    <row r="236" spans="1:13" s="247" customFormat="1" ht="14.4" x14ac:dyDescent="0.3">
      <c r="A236" s="1049" t="s">
        <v>523</v>
      </c>
      <c r="B236" s="1050"/>
      <c r="C236" s="412">
        <f>'CTE TRANS'!$AL$15</f>
        <v>13068</v>
      </c>
      <c r="D236" s="150"/>
      <c r="E236" s="427" t="s">
        <v>1</v>
      </c>
      <c r="F236" s="406"/>
      <c r="G236" s="427" t="s">
        <v>533</v>
      </c>
      <c r="H236" s="495"/>
      <c r="I236" s="425">
        <f>'Payment T&amp;T LAWSON'!$K$16</f>
        <v>13068</v>
      </c>
      <c r="J236" s="182"/>
      <c r="K236" s="182"/>
      <c r="L236" s="182"/>
      <c r="M236" s="182"/>
    </row>
    <row r="237" spans="1:13" s="247" customFormat="1" x14ac:dyDescent="0.25">
      <c r="A237" s="413"/>
      <c r="B237" s="150"/>
      <c r="C237" s="150"/>
      <c r="D237" s="150"/>
      <c r="E237" s="150"/>
      <c r="F237" s="406"/>
      <c r="G237" s="495"/>
      <c r="H237" s="495"/>
      <c r="I237" s="495"/>
      <c r="J237" s="182"/>
      <c r="K237" s="182"/>
      <c r="L237" s="182"/>
      <c r="M237" s="182"/>
    </row>
    <row r="238" spans="1:13" s="247" customFormat="1" ht="14.4" x14ac:dyDescent="0.3">
      <c r="A238" s="1049" t="s">
        <v>524</v>
      </c>
      <c r="B238" s="1050"/>
      <c r="C238" s="371" t="s">
        <v>1</v>
      </c>
      <c r="D238" s="372" t="s">
        <v>1</v>
      </c>
      <c r="E238" s="150"/>
      <c r="F238" s="406"/>
      <c r="G238" s="495"/>
      <c r="H238" s="495"/>
      <c r="I238" s="495"/>
      <c r="J238" s="182"/>
      <c r="K238" s="182"/>
      <c r="L238" s="182"/>
      <c r="M238" s="182"/>
    </row>
    <row r="239" spans="1:13" s="247" customFormat="1" x14ac:dyDescent="0.25">
      <c r="A239" s="413"/>
      <c r="B239" s="150"/>
      <c r="C239" s="373">
        <f>D233</f>
        <v>97506.64</v>
      </c>
      <c r="D239" s="374" t="s">
        <v>167</v>
      </c>
      <c r="E239" s="150"/>
      <c r="F239" s="406"/>
      <c r="G239" s="495"/>
      <c r="H239" s="495"/>
      <c r="I239" s="495"/>
      <c r="J239" s="182"/>
      <c r="K239" s="182"/>
      <c r="L239" s="182"/>
      <c r="M239" s="182"/>
    </row>
    <row r="240" spans="1:13" s="247" customFormat="1" ht="14.4" x14ac:dyDescent="0.3">
      <c r="A240" s="414" t="s">
        <v>1</v>
      </c>
      <c r="B240" s="375"/>
      <c r="C240" s="386">
        <f>C236</f>
        <v>13068</v>
      </c>
      <c r="D240" s="377" t="s">
        <v>526</v>
      </c>
      <c r="E240" s="150"/>
      <c r="F240" s="406"/>
      <c r="G240" s="495"/>
      <c r="H240" s="495"/>
      <c r="I240" s="495"/>
      <c r="J240" s="182"/>
      <c r="K240" s="182"/>
      <c r="L240" s="182"/>
      <c r="M240" s="182"/>
    </row>
    <row r="241" spans="1:13" s="247" customFormat="1" ht="14.4" x14ac:dyDescent="0.3">
      <c r="A241" s="1045" t="s">
        <v>527</v>
      </c>
      <c r="B241" s="1046"/>
      <c r="C241" s="1047">
        <f>SUM(C239:C240)</f>
        <v>110574.64</v>
      </c>
      <c r="D241" s="1048"/>
      <c r="E241" s="427" t="s">
        <v>1</v>
      </c>
      <c r="F241" s="406"/>
      <c r="G241" s="427" t="s">
        <v>533</v>
      </c>
      <c r="H241" s="495"/>
      <c r="I241" s="425">
        <f>'Payment T&amp;T LAWSON'!$N$16</f>
        <v>110574.64</v>
      </c>
      <c r="J241" s="182"/>
      <c r="K241" s="182"/>
      <c r="L241" s="182"/>
      <c r="M241" s="182"/>
    </row>
    <row r="242" spans="1:13" s="247" customFormat="1" x14ac:dyDescent="0.25">
      <c r="A242" s="415"/>
      <c r="B242" s="372"/>
      <c r="C242" s="372"/>
      <c r="D242" s="372"/>
      <c r="E242" s="372"/>
      <c r="F242" s="416"/>
      <c r="G242" s="495"/>
      <c r="H242" s="495"/>
      <c r="I242" s="495"/>
    </row>
    <row r="243" spans="1:13" s="247" customFormat="1" x14ac:dyDescent="0.25">
      <c r="A243" s="150"/>
      <c r="B243" s="150"/>
      <c r="C243" s="150"/>
      <c r="D243" s="150"/>
      <c r="E243" s="150"/>
      <c r="F243" s="150"/>
      <c r="G243" s="495"/>
      <c r="H243" s="495"/>
      <c r="I243" s="495"/>
    </row>
    <row r="245" spans="1:13" s="247" customFormat="1" ht="15.6" x14ac:dyDescent="0.3">
      <c r="A245" s="1051" t="s">
        <v>542</v>
      </c>
      <c r="B245" s="1052"/>
      <c r="C245" s="1052"/>
      <c r="D245" s="1052"/>
      <c r="E245" s="1052"/>
      <c r="F245" s="1053"/>
      <c r="G245" s="602"/>
      <c r="H245" s="602"/>
      <c r="I245" s="495"/>
      <c r="J245" s="182"/>
      <c r="K245" s="182"/>
      <c r="L245" s="182"/>
      <c r="M245" s="182"/>
    </row>
    <row r="246" spans="1:13" s="247" customFormat="1" ht="15.6" x14ac:dyDescent="0.3">
      <c r="A246" s="1054" t="str">
        <f>$A$2</f>
        <v xml:space="preserve">School Year 2020-2021 </v>
      </c>
      <c r="B246" s="1055"/>
      <c r="C246" s="1055"/>
      <c r="D246" s="1055"/>
      <c r="E246" s="1055"/>
      <c r="F246" s="1056"/>
      <c r="G246" s="602"/>
      <c r="H246" s="602"/>
      <c r="I246" s="495"/>
      <c r="J246" s="182"/>
      <c r="K246" s="182"/>
      <c r="L246" s="182"/>
      <c r="M246" s="182"/>
    </row>
    <row r="247" spans="1:13" s="247" customFormat="1" x14ac:dyDescent="0.25">
      <c r="A247" s="1037" t="s">
        <v>544</v>
      </c>
      <c r="B247" s="1038"/>
      <c r="C247" s="150"/>
      <c r="D247" s="150"/>
      <c r="E247" s="150"/>
      <c r="F247" s="406"/>
      <c r="G247" s="495"/>
      <c r="H247" s="495"/>
      <c r="I247" s="495"/>
      <c r="J247" s="182"/>
      <c r="K247" s="182"/>
      <c r="L247" s="182"/>
      <c r="M247" s="182"/>
    </row>
    <row r="248" spans="1:13" s="247" customFormat="1" ht="14.4" x14ac:dyDescent="0.3">
      <c r="A248" s="407"/>
      <c r="B248" s="353"/>
      <c r="C248" s="354" t="s">
        <v>514</v>
      </c>
      <c r="D248" s="355" t="s">
        <v>515</v>
      </c>
      <c r="E248" s="392"/>
      <c r="F248" s="587"/>
      <c r="G248" s="388"/>
      <c r="H248" s="388"/>
      <c r="I248" s="495"/>
      <c r="J248" s="182"/>
      <c r="K248" s="182"/>
      <c r="L248" s="182"/>
      <c r="M248" s="182"/>
    </row>
    <row r="249" spans="1:13" s="247" customFormat="1" ht="14.4" x14ac:dyDescent="0.3">
      <c r="A249" s="407"/>
      <c r="B249" s="353"/>
      <c r="C249" s="356" t="s">
        <v>516</v>
      </c>
      <c r="D249" s="357" t="s">
        <v>517</v>
      </c>
      <c r="E249" s="393"/>
      <c r="F249" s="588"/>
      <c r="G249" s="390"/>
      <c r="H249" s="390"/>
      <c r="I249" s="495"/>
      <c r="J249" s="182"/>
      <c r="K249" s="182"/>
      <c r="L249" s="182"/>
      <c r="M249" s="182"/>
    </row>
    <row r="250" spans="1:13" s="247" customFormat="1" x14ac:dyDescent="0.25">
      <c r="A250" s="134" t="s">
        <v>379</v>
      </c>
      <c r="B250" s="150"/>
      <c r="C250" s="432">
        <f>'TT entry &amp; transportation'!$K$84</f>
        <v>14.5</v>
      </c>
      <c r="D250" s="435">
        <f t="shared" ref="D250:D255" si="4">C250*$B$257</f>
        <v>54032.38</v>
      </c>
      <c r="E250" s="150"/>
      <c r="F250" s="406"/>
      <c r="G250" s="495"/>
      <c r="H250" s="495"/>
      <c r="I250" s="495"/>
    </row>
    <row r="251" spans="1:13" s="247" customFormat="1" x14ac:dyDescent="0.25">
      <c r="A251" s="134" t="s">
        <v>378</v>
      </c>
      <c r="B251" s="150"/>
      <c r="C251" s="433">
        <f>'TT entry &amp; transportation'!$K$85</f>
        <v>81.833399999999997</v>
      </c>
      <c r="D251" s="436">
        <f t="shared" si="4"/>
        <v>304941.59999999998</v>
      </c>
      <c r="E251" s="150"/>
      <c r="F251" s="406"/>
      <c r="G251" s="722" t="s">
        <v>1</v>
      </c>
      <c r="H251" s="495"/>
      <c r="I251" s="495"/>
    </row>
    <row r="252" spans="1:13" s="247" customFormat="1" x14ac:dyDescent="0.25">
      <c r="A252" s="134" t="s">
        <v>377</v>
      </c>
      <c r="B252" s="150"/>
      <c r="C252" s="433">
        <f>'TT entry &amp; transportation'!$K$86</f>
        <v>31.5</v>
      </c>
      <c r="D252" s="436">
        <f t="shared" si="4"/>
        <v>117380.68</v>
      </c>
      <c r="E252" s="150"/>
      <c r="F252" s="406"/>
      <c r="G252" s="495"/>
      <c r="H252" s="495"/>
      <c r="I252" s="495"/>
    </row>
    <row r="253" spans="1:13" s="864" customFormat="1" x14ac:dyDescent="0.25">
      <c r="A253" s="134" t="s">
        <v>559</v>
      </c>
      <c r="B253" s="150"/>
      <c r="C253" s="433">
        <f>'TT entry &amp; transportation'!$K$87</f>
        <v>14.166700000000001</v>
      </c>
      <c r="D253" s="436">
        <f t="shared" si="4"/>
        <v>52790.38</v>
      </c>
      <c r="E253" s="150"/>
      <c r="F253" s="406"/>
      <c r="G253" s="783"/>
      <c r="H253" s="783"/>
      <c r="I253" s="783"/>
    </row>
    <row r="254" spans="1:13" s="247" customFormat="1" x14ac:dyDescent="0.25">
      <c r="A254" s="134" t="s">
        <v>376</v>
      </c>
      <c r="B254" s="150"/>
      <c r="C254" s="433">
        <f>'TT entry &amp; transportation'!$K$88</f>
        <v>52</v>
      </c>
      <c r="D254" s="436">
        <f t="shared" si="4"/>
        <v>193771.29</v>
      </c>
      <c r="E254" s="150"/>
      <c r="F254" s="406"/>
      <c r="G254" s="493" t="s">
        <v>1</v>
      </c>
      <c r="H254" s="495"/>
      <c r="I254" s="495"/>
    </row>
    <row r="255" spans="1:13" s="247" customFormat="1" x14ac:dyDescent="0.25">
      <c r="A255" s="130" t="s">
        <v>39</v>
      </c>
      <c r="B255" s="150"/>
      <c r="C255" s="433">
        <f>'TT entry &amp; transportation'!$K$89</f>
        <v>45.5</v>
      </c>
      <c r="D255" s="437">
        <f t="shared" si="4"/>
        <v>169549.88</v>
      </c>
      <c r="E255" s="130" t="s">
        <v>1</v>
      </c>
      <c r="F255" s="406"/>
      <c r="G255" s="495"/>
      <c r="H255" s="495"/>
      <c r="I255" s="495"/>
    </row>
    <row r="256" spans="1:13" s="247" customFormat="1" ht="14.4" x14ac:dyDescent="0.3">
      <c r="A256" s="1045" t="s">
        <v>518</v>
      </c>
      <c r="B256" s="1046"/>
      <c r="C256" s="360">
        <f>SUM(C250:C255)</f>
        <v>239.5001</v>
      </c>
      <c r="D256" s="361">
        <f>SUM(D250:D255)</f>
        <v>892466.21</v>
      </c>
      <c r="E256" s="424" t="s">
        <v>1</v>
      </c>
      <c r="F256" s="589"/>
      <c r="G256" s="424" t="s">
        <v>532</v>
      </c>
      <c r="H256" s="425"/>
      <c r="I256" s="425">
        <f>'TT entry &amp; transportation'!$M$90</f>
        <v>892466.21</v>
      </c>
      <c r="J256" s="133"/>
      <c r="K256" s="133"/>
      <c r="L256" s="133"/>
      <c r="M256" s="133"/>
    </row>
    <row r="257" spans="1:13" s="247" customFormat="1" ht="14.4" x14ac:dyDescent="0.3">
      <c r="A257" s="409" t="s">
        <v>596</v>
      </c>
      <c r="B257" s="448">
        <f>'TT entry &amp; transportation'!$B$266</f>
        <v>3726.3709260000001</v>
      </c>
      <c r="C257" s="150"/>
      <c r="D257" s="150"/>
      <c r="E257" s="427" t="s">
        <v>1</v>
      </c>
      <c r="F257" s="176"/>
      <c r="G257" s="427" t="s">
        <v>533</v>
      </c>
      <c r="H257" s="175"/>
      <c r="I257" s="430">
        <f>'Payment T&amp;T LAWSON'!$I$33</f>
        <v>892466.21</v>
      </c>
    </row>
    <row r="258" spans="1:13" s="247" customFormat="1" x14ac:dyDescent="0.25">
      <c r="A258" s="413"/>
      <c r="B258" s="150"/>
      <c r="C258" s="150"/>
      <c r="D258" s="150"/>
      <c r="E258" s="150"/>
      <c r="F258" s="406"/>
      <c r="G258" s="495"/>
      <c r="H258" s="495"/>
      <c r="I258" s="495"/>
    </row>
    <row r="259" spans="1:13" s="247" customFormat="1" hidden="1" x14ac:dyDescent="0.25">
      <c r="A259" s="1037" t="s">
        <v>545</v>
      </c>
      <c r="B259" s="1038"/>
      <c r="C259" s="150"/>
      <c r="D259" s="150"/>
      <c r="E259" s="150"/>
      <c r="F259" s="406"/>
      <c r="G259" s="495"/>
      <c r="H259" s="495"/>
      <c r="I259" s="495"/>
      <c r="J259" s="182"/>
      <c r="K259" s="182"/>
      <c r="L259" s="182"/>
      <c r="M259" s="182"/>
    </row>
    <row r="260" spans="1:13" s="247" customFormat="1" ht="14.4" hidden="1" x14ac:dyDescent="0.3">
      <c r="A260" s="407"/>
      <c r="B260" s="353"/>
      <c r="C260" s="354" t="s">
        <v>514</v>
      </c>
      <c r="D260" s="355" t="s">
        <v>515</v>
      </c>
      <c r="E260" s="392"/>
      <c r="F260" s="587"/>
      <c r="G260" s="392"/>
      <c r="H260" s="396"/>
      <c r="I260" s="388"/>
      <c r="J260" s="182"/>
      <c r="K260" s="182"/>
      <c r="L260" s="182"/>
      <c r="M260" s="182"/>
    </row>
    <row r="261" spans="1:13" s="247" customFormat="1" ht="14.4" hidden="1" x14ac:dyDescent="0.3">
      <c r="A261" s="407"/>
      <c r="B261" s="353"/>
      <c r="C261" s="356" t="s">
        <v>516</v>
      </c>
      <c r="D261" s="357" t="s">
        <v>517</v>
      </c>
      <c r="E261" s="393"/>
      <c r="F261" s="588"/>
      <c r="G261" s="393"/>
      <c r="H261" s="389"/>
      <c r="I261" s="390"/>
      <c r="J261" s="182"/>
      <c r="K261" s="182"/>
      <c r="L261" s="182"/>
      <c r="M261" s="182"/>
    </row>
    <row r="262" spans="1:13" s="247" customFormat="1" hidden="1" x14ac:dyDescent="0.25">
      <c r="A262" s="130" t="s">
        <v>379</v>
      </c>
      <c r="B262" s="150"/>
      <c r="C262" s="433">
        <f>'TT entry &amp; transportation'!$K$232</f>
        <v>0</v>
      </c>
      <c r="D262" s="436">
        <f>C262*$B$172</f>
        <v>0</v>
      </c>
      <c r="E262" s="150"/>
      <c r="F262" s="406"/>
      <c r="G262" s="495"/>
      <c r="H262" s="495"/>
      <c r="I262" s="495"/>
    </row>
    <row r="263" spans="1:13" s="247" customFormat="1" hidden="1" x14ac:dyDescent="0.25">
      <c r="A263" s="130" t="s">
        <v>378</v>
      </c>
      <c r="B263" s="150"/>
      <c r="C263" s="433">
        <f>'TT entry &amp; transportation'!$K$233</f>
        <v>0</v>
      </c>
      <c r="D263" s="436">
        <f>C263*$B$172</f>
        <v>0</v>
      </c>
      <c r="E263" s="150"/>
      <c r="F263" s="406"/>
      <c r="G263" s="495"/>
      <c r="H263" s="495"/>
      <c r="I263" s="495"/>
    </row>
    <row r="264" spans="1:13" s="247" customFormat="1" hidden="1" x14ac:dyDescent="0.25">
      <c r="A264" s="130" t="s">
        <v>377</v>
      </c>
      <c r="B264" s="150"/>
      <c r="C264" s="433">
        <f>'TT entry &amp; transportation'!$K$234</f>
        <v>0</v>
      </c>
      <c r="D264" s="436">
        <f>C264*$B$172</f>
        <v>0</v>
      </c>
      <c r="E264" s="150"/>
      <c r="F264" s="406"/>
      <c r="G264" s="495"/>
      <c r="H264" s="495"/>
      <c r="I264" s="495"/>
    </row>
    <row r="265" spans="1:13" s="487" customFormat="1" hidden="1" x14ac:dyDescent="0.25">
      <c r="A265" s="130" t="s">
        <v>198</v>
      </c>
      <c r="B265" s="150"/>
      <c r="C265" s="433">
        <f>'TT entry &amp; transportation'!K231</f>
        <v>0</v>
      </c>
      <c r="D265" s="436">
        <f>'TT entry &amp; transportation'!L231</f>
        <v>0</v>
      </c>
      <c r="E265" s="150"/>
      <c r="F265" s="406"/>
      <c r="G265" s="495"/>
      <c r="H265" s="495"/>
      <c r="I265" s="495"/>
    </row>
    <row r="266" spans="1:13" s="247" customFormat="1" hidden="1" x14ac:dyDescent="0.25">
      <c r="A266" s="130" t="s">
        <v>375</v>
      </c>
      <c r="B266" s="150"/>
      <c r="C266" s="433">
        <f>'TT entry &amp; transportation'!$K$235</f>
        <v>0</v>
      </c>
      <c r="D266" s="436">
        <f>C266*$B$172</f>
        <v>0</v>
      </c>
      <c r="E266" s="150"/>
      <c r="F266" s="406"/>
      <c r="G266" s="495"/>
      <c r="H266" s="495"/>
      <c r="I266" s="495"/>
    </row>
    <row r="267" spans="1:13" s="247" customFormat="1" ht="14.4" hidden="1" x14ac:dyDescent="0.3">
      <c r="A267" s="1045" t="s">
        <v>518</v>
      </c>
      <c r="B267" s="1046"/>
      <c r="C267" s="360">
        <f>SUM(C262:C266)</f>
        <v>0</v>
      </c>
      <c r="D267" s="361">
        <f>SUM(D262:D266)</f>
        <v>0</v>
      </c>
      <c r="E267" s="424" t="s">
        <v>1</v>
      </c>
      <c r="F267" s="589"/>
      <c r="G267" s="424" t="s">
        <v>532</v>
      </c>
      <c r="H267" s="425"/>
      <c r="I267" s="425">
        <f>'TT entry &amp; transportation'!$M$236</f>
        <v>0</v>
      </c>
      <c r="J267" s="133"/>
      <c r="K267" s="133"/>
      <c r="L267" s="133"/>
      <c r="M267" s="133"/>
    </row>
    <row r="268" spans="1:13" s="247" customFormat="1" ht="14.4" hidden="1" x14ac:dyDescent="0.3">
      <c r="A268" s="409" t="s">
        <v>596</v>
      </c>
      <c r="B268" s="448">
        <f>'TT entry &amp; transportation'!$B$266</f>
        <v>3726.3709260000001</v>
      </c>
      <c r="C268" s="150"/>
      <c r="D268" s="150"/>
      <c r="E268" s="427" t="s">
        <v>1</v>
      </c>
      <c r="F268" s="176"/>
      <c r="G268" s="427" t="s">
        <v>533</v>
      </c>
      <c r="H268" s="175"/>
      <c r="I268" s="430">
        <f>'Payment T&amp;T LAWSON'!$L$33</f>
        <v>0</v>
      </c>
    </row>
    <row r="269" spans="1:13" s="182" customFormat="1" ht="14.4" hidden="1" x14ac:dyDescent="0.3">
      <c r="A269" s="438"/>
      <c r="B269" s="439"/>
      <c r="C269" s="495"/>
      <c r="D269" s="495"/>
      <c r="E269" s="427"/>
      <c r="F269" s="176"/>
      <c r="G269" s="427"/>
      <c r="H269" s="175"/>
      <c r="I269" s="430"/>
    </row>
    <row r="270" spans="1:13" s="247" customFormat="1" ht="14.4" hidden="1" x14ac:dyDescent="0.3">
      <c r="A270" s="1049" t="s">
        <v>523</v>
      </c>
      <c r="B270" s="1050"/>
      <c r="C270" s="1016">
        <f>'CTE TRANS'!$AL$34</f>
        <v>0</v>
      </c>
      <c r="D270" s="150"/>
      <c r="E270" s="427" t="s">
        <v>1</v>
      </c>
      <c r="F270" s="597"/>
      <c r="G270" s="427" t="s">
        <v>533</v>
      </c>
      <c r="H270" s="427"/>
      <c r="I270" s="430">
        <f>'Payment T&amp;T LAWSON'!K33</f>
        <v>0</v>
      </c>
      <c r="J270" s="182"/>
      <c r="K270" s="182"/>
      <c r="L270" s="182"/>
      <c r="M270" s="182"/>
    </row>
    <row r="271" spans="1:13" s="247" customFormat="1" hidden="1" x14ac:dyDescent="0.25">
      <c r="A271" s="413"/>
      <c r="B271" s="150"/>
      <c r="C271" s="150"/>
      <c r="D271" s="150"/>
      <c r="E271" s="427" t="s">
        <v>1</v>
      </c>
      <c r="F271" s="406"/>
      <c r="G271" s="495"/>
      <c r="H271" s="495"/>
      <c r="I271" s="495"/>
      <c r="J271" s="182"/>
      <c r="K271" s="182"/>
      <c r="L271" s="182"/>
      <c r="M271" s="182"/>
    </row>
    <row r="272" spans="1:13" s="247" customFormat="1" ht="14.4" x14ac:dyDescent="0.3">
      <c r="A272" s="1049" t="s">
        <v>524</v>
      </c>
      <c r="B272" s="1050"/>
      <c r="C272" s="371" t="s">
        <v>1</v>
      </c>
      <c r="D272" s="372" t="s">
        <v>1</v>
      </c>
      <c r="E272" s="150"/>
      <c r="F272" s="406"/>
      <c r="G272" s="495"/>
      <c r="H272" s="495"/>
      <c r="I272" s="495"/>
      <c r="J272" s="182"/>
      <c r="K272" s="182"/>
      <c r="L272" s="182"/>
      <c r="M272" s="182"/>
    </row>
    <row r="273" spans="1:13" s="247" customFormat="1" x14ac:dyDescent="0.25">
      <c r="A273" s="413"/>
      <c r="B273" s="150"/>
      <c r="C273" s="373">
        <f>D256</f>
        <v>892466.21</v>
      </c>
      <c r="D273" s="441" t="s">
        <v>548</v>
      </c>
      <c r="E273" s="150"/>
      <c r="F273" s="406"/>
      <c r="G273" s="495"/>
      <c r="H273" s="495"/>
      <c r="I273" s="495"/>
      <c r="J273" s="182"/>
      <c r="K273" s="182"/>
      <c r="L273" s="182"/>
      <c r="M273" s="182"/>
    </row>
    <row r="274" spans="1:13" s="247" customFormat="1" x14ac:dyDescent="0.25">
      <c r="A274" s="413"/>
      <c r="B274" s="150"/>
      <c r="C274" s="386">
        <f>D267</f>
        <v>0</v>
      </c>
      <c r="D274" s="442" t="s">
        <v>549</v>
      </c>
      <c r="E274" s="150"/>
      <c r="F274" s="406"/>
      <c r="G274" s="495"/>
      <c r="H274" s="495"/>
      <c r="I274" s="495"/>
      <c r="J274" s="182"/>
      <c r="K274" s="182"/>
      <c r="L274" s="182"/>
      <c r="M274" s="182"/>
    </row>
    <row r="275" spans="1:13" s="247" customFormat="1" ht="14.4" x14ac:dyDescent="0.3">
      <c r="A275" s="414" t="s">
        <v>1</v>
      </c>
      <c r="B275" s="375"/>
      <c r="C275" s="386">
        <f>C270</f>
        <v>0</v>
      </c>
      <c r="D275" s="377" t="s">
        <v>526</v>
      </c>
      <c r="E275" s="150"/>
      <c r="F275" s="406"/>
      <c r="G275" s="495"/>
      <c r="H275" s="495"/>
      <c r="I275" s="495"/>
      <c r="J275" s="182"/>
      <c r="K275" s="182"/>
      <c r="L275" s="182"/>
      <c r="M275" s="182"/>
    </row>
    <row r="276" spans="1:13" s="247" customFormat="1" ht="14.4" x14ac:dyDescent="0.3">
      <c r="A276" s="1045" t="s">
        <v>527</v>
      </c>
      <c r="B276" s="1046"/>
      <c r="C276" s="1047">
        <f>SUM(C273:C275)</f>
        <v>892466.21</v>
      </c>
      <c r="D276" s="1048"/>
      <c r="E276" s="427" t="s">
        <v>1</v>
      </c>
      <c r="F276" s="366"/>
      <c r="G276" s="427" t="s">
        <v>533</v>
      </c>
      <c r="H276" s="495"/>
      <c r="I276" s="425">
        <f>'Payment T&amp;T LAWSON'!$N$33</f>
        <v>892466.21</v>
      </c>
      <c r="J276" s="182"/>
      <c r="K276" s="182"/>
      <c r="L276" s="182"/>
      <c r="M276" s="182"/>
    </row>
    <row r="277" spans="1:13" s="247" customFormat="1" x14ac:dyDescent="0.25">
      <c r="A277" s="415"/>
      <c r="B277" s="372"/>
      <c r="C277" s="372"/>
      <c r="D277" s="372"/>
      <c r="E277" s="372"/>
      <c r="F277" s="416"/>
      <c r="G277" s="495"/>
      <c r="H277" s="495"/>
      <c r="I277" s="495"/>
    </row>
    <row r="278" spans="1:13" s="247" customFormat="1" x14ac:dyDescent="0.25">
      <c r="A278" s="150"/>
      <c r="B278" s="150"/>
      <c r="C278" s="150"/>
      <c r="D278" s="150"/>
      <c r="E278" s="150"/>
      <c r="F278" s="150"/>
      <c r="G278" s="495"/>
      <c r="H278" s="495"/>
      <c r="I278" s="495"/>
    </row>
    <row r="280" spans="1:13" s="247" customFormat="1" ht="15.6" x14ac:dyDescent="0.3">
      <c r="A280" s="1051" t="s">
        <v>550</v>
      </c>
      <c r="B280" s="1052"/>
      <c r="C280" s="1052"/>
      <c r="D280" s="1052"/>
      <c r="E280" s="1052"/>
      <c r="F280" s="1053"/>
      <c r="G280" s="602"/>
      <c r="H280" s="602"/>
      <c r="I280" s="495"/>
      <c r="J280" s="182"/>
      <c r="K280" s="182"/>
      <c r="L280" s="182"/>
      <c r="M280" s="182"/>
    </row>
    <row r="281" spans="1:13" s="247" customFormat="1" ht="15.6" x14ac:dyDescent="0.3">
      <c r="A281" s="1054" t="str">
        <f>$A$2</f>
        <v xml:space="preserve">School Year 2020-2021 </v>
      </c>
      <c r="B281" s="1055"/>
      <c r="C281" s="1055"/>
      <c r="D281" s="1055"/>
      <c r="E281" s="1055"/>
      <c r="F281" s="1056"/>
      <c r="G281" s="602"/>
      <c r="H281" s="602"/>
      <c r="I281" s="495"/>
      <c r="J281" s="182"/>
      <c r="K281" s="182"/>
      <c r="L281" s="182"/>
      <c r="M281" s="182"/>
    </row>
    <row r="282" spans="1:13" s="247" customFormat="1" x14ac:dyDescent="0.25">
      <c r="A282" s="1037" t="s">
        <v>513</v>
      </c>
      <c r="B282" s="1038"/>
      <c r="C282" s="150"/>
      <c r="D282" s="150"/>
      <c r="E282" s="150"/>
      <c r="F282" s="406"/>
      <c r="G282" s="495"/>
      <c r="H282" s="495"/>
      <c r="I282" s="495"/>
      <c r="J282" s="182"/>
      <c r="K282" s="182"/>
      <c r="L282" s="182"/>
      <c r="M282" s="182"/>
    </row>
    <row r="283" spans="1:13" s="247" customFormat="1" ht="14.4" x14ac:dyDescent="0.3">
      <c r="A283" s="407"/>
      <c r="B283" s="353"/>
      <c r="C283" s="354" t="s">
        <v>514</v>
      </c>
      <c r="D283" s="355" t="s">
        <v>515</v>
      </c>
      <c r="E283" s="392"/>
      <c r="F283" s="587"/>
      <c r="G283" s="388"/>
      <c r="H283" s="388"/>
      <c r="I283" s="495"/>
      <c r="J283" s="182"/>
      <c r="K283" s="182"/>
      <c r="L283" s="182"/>
      <c r="M283" s="182"/>
    </row>
    <row r="284" spans="1:13" s="247" customFormat="1" ht="14.4" x14ac:dyDescent="0.3">
      <c r="A284" s="407"/>
      <c r="B284" s="353"/>
      <c r="C284" s="356" t="s">
        <v>516</v>
      </c>
      <c r="D284" s="357" t="s">
        <v>517</v>
      </c>
      <c r="E284" s="393"/>
      <c r="F284" s="588"/>
      <c r="G284" s="390"/>
      <c r="H284" s="390"/>
      <c r="I284" s="495"/>
      <c r="J284" s="182"/>
      <c r="K284" s="182"/>
      <c r="L284" s="182"/>
      <c r="M284" s="182"/>
    </row>
    <row r="285" spans="1:13" s="247" customFormat="1" ht="14.4" hidden="1" x14ac:dyDescent="0.3">
      <c r="A285" s="134" t="s">
        <v>149</v>
      </c>
      <c r="B285" s="408"/>
      <c r="C285" s="443">
        <f>'TT entry &amp; transportation'!$K$91</f>
        <v>0</v>
      </c>
      <c r="D285" s="444">
        <f>C285*$B$291</f>
        <v>0</v>
      </c>
      <c r="E285" s="174"/>
      <c r="F285" s="176"/>
      <c r="G285" s="363"/>
      <c r="H285" s="595"/>
      <c r="I285" s="599"/>
      <c r="J285" s="133"/>
      <c r="K285" s="133"/>
      <c r="L285" s="133"/>
      <c r="M285" s="133"/>
    </row>
    <row r="286" spans="1:13" s="247" customFormat="1" ht="14.4" x14ac:dyDescent="0.3">
      <c r="A286" s="134" t="s">
        <v>384</v>
      </c>
      <c r="B286" s="408"/>
      <c r="C286" s="445">
        <f>'TT entry &amp; transportation'!$K$92</f>
        <v>37</v>
      </c>
      <c r="D286" s="446">
        <f>C286*$B$291</f>
        <v>137875.72</v>
      </c>
      <c r="E286" s="174"/>
      <c r="F286" s="176"/>
      <c r="G286" s="363"/>
      <c r="H286" s="595"/>
      <c r="I286" s="599"/>
      <c r="J286" s="133"/>
      <c r="K286" s="133"/>
      <c r="L286" s="133"/>
      <c r="M286" s="133"/>
    </row>
    <row r="287" spans="1:13" s="247" customFormat="1" ht="14.4" x14ac:dyDescent="0.3">
      <c r="A287" s="134" t="s">
        <v>383</v>
      </c>
      <c r="B287" s="408"/>
      <c r="C287" s="445">
        <f>'TT entry &amp; transportation'!$K$93</f>
        <v>6.1666499999999997</v>
      </c>
      <c r="D287" s="446">
        <f>C287*$B$291</f>
        <v>22979.23</v>
      </c>
      <c r="E287" s="174"/>
      <c r="F287" s="176"/>
      <c r="G287" s="363"/>
      <c r="H287" s="595"/>
      <c r="I287" s="599"/>
      <c r="J287" s="133"/>
      <c r="K287" s="133"/>
      <c r="L287" s="133"/>
      <c r="M287" s="133"/>
    </row>
    <row r="288" spans="1:13" s="247" customFormat="1" ht="14.4" x14ac:dyDescent="0.3">
      <c r="A288" s="134" t="s">
        <v>382</v>
      </c>
      <c r="B288" s="408"/>
      <c r="C288" s="445">
        <f>'TT entry &amp; transportation'!$K$94</f>
        <v>14.833349999999999</v>
      </c>
      <c r="D288" s="446">
        <f>C288*$B$291+0.01</f>
        <v>55274.57</v>
      </c>
      <c r="E288" s="174"/>
      <c r="F288" s="132" t="s">
        <v>1</v>
      </c>
      <c r="G288" s="493" t="s">
        <v>637</v>
      </c>
      <c r="H288" s="595"/>
      <c r="I288" s="599"/>
      <c r="J288" s="133"/>
      <c r="K288" s="133"/>
      <c r="L288" s="133"/>
      <c r="M288" s="133"/>
    </row>
    <row r="289" spans="1:13" s="247" customFormat="1" ht="14.4" x14ac:dyDescent="0.3">
      <c r="A289" s="130" t="s">
        <v>896</v>
      </c>
      <c r="B289" s="408"/>
      <c r="C289" s="445">
        <f>'TT entry &amp; transportation'!$K$95</f>
        <v>18.333349999999999</v>
      </c>
      <c r="D289" s="447">
        <f>C289*$B$291</f>
        <v>68316.86</v>
      </c>
      <c r="E289" s="130" t="s">
        <v>1</v>
      </c>
      <c r="F289" s="176"/>
      <c r="G289" s="363"/>
      <c r="H289" s="595"/>
      <c r="I289" s="599"/>
      <c r="J289" s="133"/>
      <c r="K289" s="133"/>
      <c r="L289" s="133"/>
      <c r="M289" s="133"/>
    </row>
    <row r="290" spans="1:13" s="247" customFormat="1" ht="14.4" x14ac:dyDescent="0.3">
      <c r="A290" s="1045" t="s">
        <v>518</v>
      </c>
      <c r="B290" s="1046"/>
      <c r="C290" s="360">
        <f>SUM(C285:C289)</f>
        <v>76.333349999999996</v>
      </c>
      <c r="D290" s="361">
        <f>SUM(D285:D289)</f>
        <v>284446.38</v>
      </c>
      <c r="E290" s="424" t="s">
        <v>1</v>
      </c>
      <c r="F290" s="589"/>
      <c r="G290" s="424" t="s">
        <v>532</v>
      </c>
      <c r="H290" s="425"/>
      <c r="I290" s="425">
        <f>'TT entry &amp; transportation'!$M$96</f>
        <v>284446.38</v>
      </c>
      <c r="J290" s="133"/>
      <c r="K290" s="133"/>
      <c r="L290" s="133"/>
      <c r="M290" s="133"/>
    </row>
    <row r="291" spans="1:13" s="182" customFormat="1" ht="14.4" x14ac:dyDescent="0.3">
      <c r="A291" s="409" t="s">
        <v>596</v>
      </c>
      <c r="B291" s="448">
        <f>'TT entry &amp; transportation'!$B$266</f>
        <v>3726.3709260000001</v>
      </c>
      <c r="C291" s="175"/>
      <c r="D291" s="175"/>
      <c r="E291" s="427" t="s">
        <v>1</v>
      </c>
      <c r="F291" s="176"/>
      <c r="G291" s="427" t="s">
        <v>533</v>
      </c>
      <c r="H291" s="175"/>
      <c r="I291" s="430">
        <f>'Payment T&amp;T LAWSON'!$I$38</f>
        <v>284446.38</v>
      </c>
      <c r="J291" s="133"/>
      <c r="K291" s="133"/>
      <c r="L291" s="133"/>
      <c r="M291" s="133"/>
    </row>
    <row r="292" spans="1:13" s="182" customFormat="1" ht="14.4" x14ac:dyDescent="0.3">
      <c r="A292" s="410"/>
      <c r="B292" s="411"/>
      <c r="C292" s="175"/>
      <c r="D292" s="175"/>
      <c r="E292" s="175"/>
      <c r="F292" s="176"/>
      <c r="G292" s="363"/>
      <c r="H292" s="595"/>
      <c r="I292" s="599"/>
      <c r="J292" s="133"/>
      <c r="K292" s="133"/>
      <c r="L292" s="133"/>
      <c r="M292" s="133"/>
    </row>
    <row r="293" spans="1:13" s="182" customFormat="1" ht="14.4" x14ac:dyDescent="0.3">
      <c r="A293" s="1057" t="s">
        <v>519</v>
      </c>
      <c r="B293" s="1058"/>
      <c r="C293" s="175"/>
      <c r="D293" s="175"/>
      <c r="E293" s="175"/>
      <c r="F293" s="176"/>
      <c r="G293" s="363"/>
      <c r="H293" s="595"/>
      <c r="I293" s="599"/>
      <c r="J293" s="133"/>
      <c r="K293" s="133"/>
      <c r="L293" s="133"/>
      <c r="M293" s="133"/>
    </row>
    <row r="294" spans="1:13" s="247" customFormat="1" ht="26.4" x14ac:dyDescent="0.25">
      <c r="A294" s="423"/>
      <c r="B294" s="364"/>
      <c r="C294" s="365" t="s">
        <v>520</v>
      </c>
      <c r="D294" s="606" t="s">
        <v>636</v>
      </c>
      <c r="E294" s="365" t="s">
        <v>521</v>
      </c>
      <c r="F294" s="368"/>
      <c r="G294" s="495"/>
      <c r="H294" s="497"/>
      <c r="I294" s="497"/>
      <c r="J294" s="182"/>
      <c r="K294" s="182"/>
      <c r="L294" s="182"/>
      <c r="M294" s="182"/>
    </row>
    <row r="295" spans="1:13" s="247" customFormat="1" hidden="1" x14ac:dyDescent="0.25">
      <c r="A295" s="134" t="s">
        <v>149</v>
      </c>
      <c r="B295" s="366"/>
      <c r="C295" s="398">
        <f>Differential!$C$19</f>
        <v>0</v>
      </c>
      <c r="D295" s="367">
        <f>Differential!$L$18</f>
        <v>204.92</v>
      </c>
      <c r="E295" s="401">
        <f>C295*D295</f>
        <v>0</v>
      </c>
      <c r="F295" s="596"/>
      <c r="G295" s="495"/>
      <c r="H295" s="497"/>
      <c r="I295" s="497"/>
      <c r="J295" s="182"/>
      <c r="K295" s="182"/>
      <c r="L295" s="182"/>
      <c r="M295" s="182"/>
    </row>
    <row r="296" spans="1:13" s="247" customFormat="1" x14ac:dyDescent="0.25">
      <c r="A296" s="134" t="s">
        <v>384</v>
      </c>
      <c r="B296" s="366"/>
      <c r="C296" s="399">
        <f>Differential!$C$20</f>
        <v>74</v>
      </c>
      <c r="D296" s="404">
        <f>Differential!$L$18</f>
        <v>204.92</v>
      </c>
      <c r="E296" s="402">
        <f>C296*D296</f>
        <v>15164.08</v>
      </c>
      <c r="F296" s="596"/>
      <c r="G296" s="495"/>
      <c r="H296" s="497"/>
      <c r="I296" s="497"/>
      <c r="J296" s="182"/>
      <c r="K296" s="182"/>
      <c r="L296" s="182"/>
      <c r="M296" s="182"/>
    </row>
    <row r="297" spans="1:13" s="247" customFormat="1" x14ac:dyDescent="0.25">
      <c r="A297" s="134" t="s">
        <v>383</v>
      </c>
      <c r="B297" s="366"/>
      <c r="C297" s="399">
        <f>Differential!$C$18</f>
        <v>12.333299999999999</v>
      </c>
      <c r="D297" s="404">
        <f>Differential!$L$18</f>
        <v>204.92</v>
      </c>
      <c r="E297" s="402">
        <f>C297*D297</f>
        <v>2527.34</v>
      </c>
      <c r="F297" s="596"/>
      <c r="G297" s="495"/>
      <c r="H297" s="497"/>
      <c r="I297" s="497"/>
      <c r="J297" s="182"/>
      <c r="K297" s="182"/>
      <c r="L297" s="182"/>
      <c r="M297" s="182"/>
    </row>
    <row r="298" spans="1:13" s="247" customFormat="1" x14ac:dyDescent="0.25">
      <c r="A298" s="134" t="s">
        <v>382</v>
      </c>
      <c r="B298" s="366"/>
      <c r="C298" s="399">
        <f>Differential!$C$21</f>
        <v>29.666699999999999</v>
      </c>
      <c r="D298" s="404">
        <f>Differential!$L$18</f>
        <v>204.92</v>
      </c>
      <c r="E298" s="402">
        <f>C298*D298</f>
        <v>6079.3</v>
      </c>
      <c r="F298" s="596"/>
      <c r="G298" s="493" t="s">
        <v>1</v>
      </c>
      <c r="H298" s="497"/>
      <c r="I298" s="497"/>
      <c r="J298" s="182"/>
      <c r="K298" s="182"/>
      <c r="L298" s="182"/>
      <c r="M298" s="182"/>
    </row>
    <row r="299" spans="1:13" s="247" customFormat="1" x14ac:dyDescent="0.25">
      <c r="A299" s="130" t="s">
        <v>44</v>
      </c>
      <c r="B299" s="366"/>
      <c r="C299" s="399">
        <f>Differential!$C$22</f>
        <v>36.666699999999999</v>
      </c>
      <c r="D299" s="405">
        <f>Differential!$L$18</f>
        <v>204.92</v>
      </c>
      <c r="E299" s="402">
        <f>C299*D299</f>
        <v>7513.74</v>
      </c>
      <c r="F299" s="596"/>
      <c r="G299" s="495"/>
      <c r="H299" s="497"/>
      <c r="I299" s="497"/>
      <c r="J299" s="182"/>
      <c r="K299" s="182"/>
      <c r="L299" s="182"/>
      <c r="M299" s="182"/>
    </row>
    <row r="300" spans="1:13" s="247" customFormat="1" ht="14.4" x14ac:dyDescent="0.3">
      <c r="A300" s="1045" t="s">
        <v>522</v>
      </c>
      <c r="B300" s="1046"/>
      <c r="C300" s="453">
        <f>SUM(C295:C299)</f>
        <v>152.66669999999999</v>
      </c>
      <c r="D300" s="454"/>
      <c r="E300" s="455">
        <f>SUM(E295:E299)</f>
        <v>31284.46</v>
      </c>
      <c r="F300" s="598" t="s">
        <v>1</v>
      </c>
      <c r="G300" s="424" t="s">
        <v>534</v>
      </c>
      <c r="H300" s="425"/>
      <c r="I300" s="600">
        <f>Differential!F17</f>
        <v>31284.46</v>
      </c>
      <c r="J300" s="182"/>
      <c r="K300" s="182"/>
      <c r="L300" s="182"/>
      <c r="M300" s="182"/>
    </row>
    <row r="301" spans="1:13" s="247" customFormat="1" x14ac:dyDescent="0.25">
      <c r="A301" s="413"/>
      <c r="B301" s="150"/>
      <c r="C301" s="150"/>
      <c r="D301" s="150"/>
      <c r="E301" s="150"/>
      <c r="F301" s="597" t="s">
        <v>1</v>
      </c>
      <c r="G301" s="427" t="s">
        <v>533</v>
      </c>
      <c r="H301" s="495"/>
      <c r="I301" s="425">
        <f>'Payment T&amp;T LAWSON'!$J$38</f>
        <v>31284.46</v>
      </c>
      <c r="J301" s="182"/>
      <c r="K301" s="182"/>
      <c r="L301" s="182"/>
      <c r="M301" s="182"/>
    </row>
    <row r="302" spans="1:13" s="247" customFormat="1" ht="14.4" x14ac:dyDescent="0.3">
      <c r="A302" s="1049" t="s">
        <v>523</v>
      </c>
      <c r="B302" s="1050"/>
      <c r="C302" s="431">
        <f>'CTE TRANS'!$AL$39</f>
        <v>3740.8</v>
      </c>
      <c r="D302" s="150"/>
      <c r="E302" s="150"/>
      <c r="F302" s="597" t="s">
        <v>1</v>
      </c>
      <c r="G302" s="427" t="s">
        <v>533</v>
      </c>
      <c r="H302" s="495"/>
      <c r="I302" s="430">
        <f>'Payment T&amp;T LAWSON'!$K$38</f>
        <v>3740.8</v>
      </c>
      <c r="J302" s="182"/>
      <c r="K302" s="182"/>
      <c r="L302" s="182"/>
      <c r="M302" s="182"/>
    </row>
    <row r="303" spans="1:13" s="247" customFormat="1" x14ac:dyDescent="0.25">
      <c r="A303" s="413"/>
      <c r="B303" s="150"/>
      <c r="C303" s="150"/>
      <c r="D303" s="150"/>
      <c r="E303" s="150"/>
      <c r="F303" s="406"/>
      <c r="G303" s="495"/>
      <c r="H303" s="495"/>
      <c r="I303" s="495"/>
      <c r="J303" s="182"/>
      <c r="K303" s="182"/>
      <c r="L303" s="182"/>
      <c r="M303" s="182"/>
    </row>
    <row r="304" spans="1:13" s="247" customFormat="1" ht="14.4" x14ac:dyDescent="0.3">
      <c r="A304" s="1049" t="s">
        <v>524</v>
      </c>
      <c r="B304" s="1050"/>
      <c r="C304" s="371" t="s">
        <v>1</v>
      </c>
      <c r="D304" s="372" t="s">
        <v>1</v>
      </c>
      <c r="E304" s="150"/>
      <c r="F304" s="406"/>
      <c r="G304" s="495"/>
      <c r="H304" s="495"/>
      <c r="I304" s="495"/>
      <c r="J304" s="182"/>
      <c r="K304" s="182"/>
      <c r="L304" s="182"/>
      <c r="M304" s="182"/>
    </row>
    <row r="305" spans="1:13" s="247" customFormat="1" x14ac:dyDescent="0.25">
      <c r="A305" s="413"/>
      <c r="B305" s="150"/>
      <c r="C305" s="373">
        <f>D290</f>
        <v>284446.38</v>
      </c>
      <c r="D305" s="374" t="s">
        <v>167</v>
      </c>
      <c r="E305" s="150"/>
      <c r="F305" s="406"/>
      <c r="G305" s="495"/>
      <c r="H305" s="495"/>
      <c r="I305" s="495"/>
      <c r="J305" s="182"/>
      <c r="K305" s="182"/>
      <c r="L305" s="182"/>
      <c r="M305" s="182"/>
    </row>
    <row r="306" spans="1:13" s="247" customFormat="1" x14ac:dyDescent="0.25">
      <c r="A306" s="413"/>
      <c r="B306" s="150"/>
      <c r="C306" s="373">
        <f>E300</f>
        <v>31284.46</v>
      </c>
      <c r="D306" s="374" t="s">
        <v>525</v>
      </c>
      <c r="E306" s="150"/>
      <c r="F306" s="406"/>
      <c r="G306" s="495"/>
      <c r="H306" s="495"/>
      <c r="I306" s="495"/>
      <c r="J306" s="182"/>
      <c r="K306" s="182"/>
      <c r="L306" s="182"/>
      <c r="M306" s="182"/>
    </row>
    <row r="307" spans="1:13" s="247" customFormat="1" ht="14.4" x14ac:dyDescent="0.3">
      <c r="A307" s="414" t="s">
        <v>1</v>
      </c>
      <c r="B307" s="375"/>
      <c r="C307" s="386">
        <f>C302</f>
        <v>3740.8</v>
      </c>
      <c r="D307" s="377" t="s">
        <v>526</v>
      </c>
      <c r="E307" s="150"/>
      <c r="F307" s="406"/>
      <c r="G307" s="495"/>
      <c r="H307" s="495"/>
      <c r="I307" s="495"/>
      <c r="J307" s="182"/>
      <c r="K307" s="182"/>
      <c r="L307" s="182"/>
      <c r="M307" s="182"/>
    </row>
    <row r="308" spans="1:13" s="247" customFormat="1" ht="14.4" x14ac:dyDescent="0.3">
      <c r="A308" s="1045" t="s">
        <v>527</v>
      </c>
      <c r="B308" s="1046"/>
      <c r="C308" s="1047">
        <f>SUM(C305:C307)</f>
        <v>319471.64</v>
      </c>
      <c r="D308" s="1048"/>
      <c r="E308" s="427" t="s">
        <v>1</v>
      </c>
      <c r="F308" s="366"/>
      <c r="G308" s="427" t="s">
        <v>533</v>
      </c>
      <c r="H308" s="495"/>
      <c r="I308" s="425">
        <f>'Payment T&amp;T LAWSON'!$N$38</f>
        <v>319471.64</v>
      </c>
      <c r="J308" s="182"/>
      <c r="K308" s="182"/>
      <c r="L308" s="182"/>
      <c r="M308" s="182"/>
    </row>
    <row r="309" spans="1:13" s="247" customFormat="1" x14ac:dyDescent="0.25">
      <c r="A309" s="415"/>
      <c r="B309" s="372"/>
      <c r="C309" s="372"/>
      <c r="D309" s="372"/>
      <c r="E309" s="372"/>
      <c r="F309" s="416"/>
      <c r="G309" s="495"/>
      <c r="H309" s="495"/>
      <c r="I309" s="495"/>
    </row>
    <row r="310" spans="1:13" s="247" customFormat="1" x14ac:dyDescent="0.25">
      <c r="A310" s="150"/>
      <c r="B310" s="150"/>
      <c r="C310" s="150"/>
      <c r="D310" s="150"/>
      <c r="E310" s="150"/>
      <c r="F310" s="150"/>
      <c r="G310" s="495"/>
      <c r="H310" s="495"/>
      <c r="I310" s="495"/>
    </row>
    <row r="312" spans="1:13" s="247" customFormat="1" ht="15.6" x14ac:dyDescent="0.3">
      <c r="A312" s="1051" t="s">
        <v>552</v>
      </c>
      <c r="B312" s="1052"/>
      <c r="C312" s="1052"/>
      <c r="D312" s="1052"/>
      <c r="E312" s="1052"/>
      <c r="F312" s="1053"/>
      <c r="G312" s="602"/>
      <c r="H312" s="602"/>
      <c r="I312" s="495"/>
      <c r="J312" s="182"/>
      <c r="K312" s="182"/>
      <c r="L312" s="182"/>
      <c r="M312" s="182"/>
    </row>
    <row r="313" spans="1:13" s="247" customFormat="1" ht="15.6" x14ac:dyDescent="0.3">
      <c r="A313" s="1054" t="str">
        <f>$A$2</f>
        <v xml:space="preserve">School Year 2020-2021 </v>
      </c>
      <c r="B313" s="1055"/>
      <c r="C313" s="1055"/>
      <c r="D313" s="1055"/>
      <c r="E313" s="1055"/>
      <c r="F313" s="1056"/>
      <c r="G313" s="602"/>
      <c r="H313" s="602"/>
      <c r="I313" s="495"/>
      <c r="J313" s="182"/>
      <c r="K313" s="182"/>
      <c r="L313" s="182"/>
      <c r="M313" s="182"/>
    </row>
    <row r="314" spans="1:13" s="247" customFormat="1" x14ac:dyDescent="0.25">
      <c r="A314" s="1037" t="s">
        <v>513</v>
      </c>
      <c r="B314" s="1038"/>
      <c r="C314" s="150"/>
      <c r="D314" s="150"/>
      <c r="E314" s="150"/>
      <c r="F314" s="406"/>
      <c r="G314" s="495"/>
      <c r="H314" s="495"/>
      <c r="I314" s="495"/>
      <c r="J314" s="182"/>
      <c r="K314" s="182"/>
      <c r="L314" s="182"/>
      <c r="M314" s="182"/>
    </row>
    <row r="315" spans="1:13" s="247" customFormat="1" ht="14.4" x14ac:dyDescent="0.3">
      <c r="A315" s="407"/>
      <c r="B315" s="353"/>
      <c r="C315" s="354" t="s">
        <v>514</v>
      </c>
      <c r="D315" s="355" t="s">
        <v>515</v>
      </c>
      <c r="E315" s="392"/>
      <c r="F315" s="587"/>
      <c r="G315" s="388"/>
      <c r="H315" s="388"/>
      <c r="I315" s="495"/>
      <c r="J315" s="182"/>
      <c r="K315" s="182"/>
      <c r="L315" s="182"/>
      <c r="M315" s="182"/>
    </row>
    <row r="316" spans="1:13" s="247" customFormat="1" ht="14.4" x14ac:dyDescent="0.3">
      <c r="A316" s="407"/>
      <c r="B316" s="353"/>
      <c r="C316" s="356" t="s">
        <v>516</v>
      </c>
      <c r="D316" s="357" t="s">
        <v>517</v>
      </c>
      <c r="E316" s="393"/>
      <c r="F316" s="588"/>
      <c r="G316" s="390"/>
      <c r="H316" s="390"/>
      <c r="I316" s="495"/>
      <c r="J316" s="182"/>
      <c r="K316" s="182"/>
      <c r="L316" s="182"/>
      <c r="M316" s="182"/>
    </row>
    <row r="317" spans="1:13" s="247" customFormat="1" x14ac:dyDescent="0.25">
      <c r="A317" s="130" t="s">
        <v>511</v>
      </c>
      <c r="B317" s="150"/>
      <c r="C317" s="432">
        <f>'TT entry &amp; transportation'!$K$110</f>
        <v>6.3333500000000003</v>
      </c>
      <c r="D317" s="435">
        <f>C317*$B$172</f>
        <v>23600.41</v>
      </c>
      <c r="E317" s="150"/>
      <c r="F317" s="406"/>
      <c r="G317" s="495"/>
      <c r="H317" s="495"/>
      <c r="I317" s="495"/>
    </row>
    <row r="318" spans="1:13" s="247" customFormat="1" hidden="1" x14ac:dyDescent="0.25">
      <c r="A318" s="130" t="s">
        <v>393</v>
      </c>
      <c r="B318" s="150"/>
      <c r="C318" s="433">
        <f>'TT entry &amp; transportation'!$K$111</f>
        <v>0</v>
      </c>
      <c r="D318" s="436">
        <f>C318*$B$172</f>
        <v>0</v>
      </c>
      <c r="E318" s="150"/>
      <c r="F318" s="406"/>
      <c r="G318" s="495"/>
      <c r="H318" s="495"/>
      <c r="I318" s="495"/>
    </row>
    <row r="319" spans="1:13" s="487" customFormat="1" x14ac:dyDescent="0.25">
      <c r="A319" s="130" t="s">
        <v>598</v>
      </c>
      <c r="B319" s="150"/>
      <c r="C319" s="433">
        <f>'TT entry &amp; transportation'!K112</f>
        <v>2.3333499999999998</v>
      </c>
      <c r="D319" s="436">
        <f>'TT entry &amp; transportation'!L112</f>
        <v>8694.93</v>
      </c>
      <c r="E319" s="150"/>
      <c r="F319" s="406"/>
      <c r="G319" s="495"/>
      <c r="H319" s="495"/>
      <c r="I319" s="495"/>
    </row>
    <row r="320" spans="1:13" s="247" customFormat="1" hidden="1" x14ac:dyDescent="0.25">
      <c r="A320" s="130" t="s">
        <v>31</v>
      </c>
      <c r="B320" s="150"/>
      <c r="C320" s="433">
        <f>'TT entry &amp; transportation'!$K$113</f>
        <v>0</v>
      </c>
      <c r="D320" s="436">
        <f>C320*$B$172</f>
        <v>0</v>
      </c>
      <c r="E320" s="130" t="s">
        <v>1</v>
      </c>
      <c r="F320" s="406"/>
      <c r="G320" s="495"/>
      <c r="H320" s="495"/>
      <c r="I320" s="495"/>
    </row>
    <row r="321" spans="1:13" s="247" customFormat="1" x14ac:dyDescent="0.25">
      <c r="A321" s="134" t="s">
        <v>390</v>
      </c>
      <c r="B321" s="150"/>
      <c r="C321" s="433">
        <f>'TT entry &amp; transportation'!$K$115</f>
        <v>1</v>
      </c>
      <c r="D321" s="436">
        <f>C321*$B$172</f>
        <v>3726.37</v>
      </c>
      <c r="E321" s="150"/>
      <c r="F321" s="406"/>
      <c r="G321" s="495"/>
      <c r="H321" s="495"/>
      <c r="I321" s="495"/>
    </row>
    <row r="322" spans="1:13" s="247" customFormat="1" ht="14.4" x14ac:dyDescent="0.3">
      <c r="A322" s="1045" t="s">
        <v>518</v>
      </c>
      <c r="B322" s="1046"/>
      <c r="C322" s="360">
        <f>SUM(C317:C321)</f>
        <v>9.6667000000000005</v>
      </c>
      <c r="D322" s="361">
        <f>SUM(D317:D321)</f>
        <v>36021.71</v>
      </c>
      <c r="E322" s="424" t="s">
        <v>1</v>
      </c>
      <c r="F322" s="589"/>
      <c r="G322" s="424" t="s">
        <v>532</v>
      </c>
      <c r="H322" s="425"/>
      <c r="I322" s="425">
        <f>'TT entry &amp; transportation'!$M$116</f>
        <v>36021.71</v>
      </c>
      <c r="J322" s="133"/>
      <c r="K322" s="133"/>
      <c r="L322" s="133"/>
      <c r="M322" s="133"/>
    </row>
    <row r="323" spans="1:13" s="247" customFormat="1" ht="14.4" x14ac:dyDescent="0.3">
      <c r="A323" s="409" t="s">
        <v>596</v>
      </c>
      <c r="B323" s="448">
        <f>'TT entry &amp; transportation'!$B$266</f>
        <v>3726.3709260000001</v>
      </c>
      <c r="C323" s="150"/>
      <c r="D323" s="150"/>
      <c r="E323" s="427" t="s">
        <v>1</v>
      </c>
      <c r="F323" s="176"/>
      <c r="G323" s="427" t="s">
        <v>533</v>
      </c>
      <c r="H323" s="175"/>
      <c r="I323" s="430">
        <f>'Payment T&amp;T LAWSON'!$I$42</f>
        <v>36021.71</v>
      </c>
    </row>
    <row r="324" spans="1:13" s="247" customFormat="1" x14ac:dyDescent="0.25">
      <c r="A324" s="413"/>
      <c r="B324" s="150"/>
      <c r="C324" s="150"/>
      <c r="D324" s="150"/>
      <c r="E324" s="150"/>
      <c r="F324" s="406"/>
      <c r="G324" s="495"/>
      <c r="H324" s="495"/>
      <c r="I324" s="495"/>
    </row>
    <row r="325" spans="1:13" s="247" customFormat="1" ht="14.4" x14ac:dyDescent="0.3">
      <c r="A325" s="1049" t="s">
        <v>523</v>
      </c>
      <c r="B325" s="1050"/>
      <c r="C325" s="431">
        <f>'CTE TRANS'!$AL$43</f>
        <v>1477.5</v>
      </c>
      <c r="D325" s="150"/>
      <c r="E325" s="427" t="s">
        <v>1</v>
      </c>
      <c r="F325" s="597"/>
      <c r="G325" s="427" t="s">
        <v>533</v>
      </c>
      <c r="H325" s="427"/>
      <c r="I325" s="430">
        <f>'Payment T&amp;T LAWSON'!$K$42</f>
        <v>1477.5</v>
      </c>
      <c r="J325" s="182"/>
      <c r="K325" s="182"/>
      <c r="L325" s="182"/>
      <c r="M325" s="182"/>
    </row>
    <row r="326" spans="1:13" s="247" customFormat="1" x14ac:dyDescent="0.25">
      <c r="A326" s="413"/>
      <c r="B326" s="150"/>
      <c r="C326" s="150"/>
      <c r="D326" s="150"/>
      <c r="E326" s="150"/>
      <c r="F326" s="406"/>
      <c r="G326" s="495"/>
      <c r="H326" s="495"/>
      <c r="I326" s="495"/>
      <c r="J326" s="182"/>
      <c r="K326" s="182"/>
      <c r="L326" s="182"/>
      <c r="M326" s="182"/>
    </row>
    <row r="327" spans="1:13" s="247" customFormat="1" ht="14.4" x14ac:dyDescent="0.3">
      <c r="A327" s="1049" t="s">
        <v>524</v>
      </c>
      <c r="B327" s="1050"/>
      <c r="C327" s="371" t="s">
        <v>1</v>
      </c>
      <c r="D327" s="372" t="s">
        <v>1</v>
      </c>
      <c r="E327" s="150"/>
      <c r="F327" s="406"/>
      <c r="G327" s="495"/>
      <c r="H327" s="495"/>
      <c r="I327" s="495"/>
      <c r="J327" s="182"/>
      <c r="K327" s="182"/>
      <c r="L327" s="182"/>
      <c r="M327" s="182"/>
    </row>
    <row r="328" spans="1:13" s="247" customFormat="1" x14ac:dyDescent="0.25">
      <c r="A328" s="413"/>
      <c r="B328" s="150"/>
      <c r="C328" s="373">
        <f>D322</f>
        <v>36021.71</v>
      </c>
      <c r="D328" s="374" t="s">
        <v>167</v>
      </c>
      <c r="E328" s="150"/>
      <c r="F328" s="406"/>
      <c r="G328" s="495"/>
      <c r="H328" s="495"/>
      <c r="I328" s="495"/>
      <c r="J328" s="182"/>
      <c r="K328" s="182"/>
      <c r="L328" s="182"/>
      <c r="M328" s="182"/>
    </row>
    <row r="329" spans="1:13" s="247" customFormat="1" ht="14.4" x14ac:dyDescent="0.3">
      <c r="A329" s="414" t="s">
        <v>1</v>
      </c>
      <c r="B329" s="375"/>
      <c r="C329" s="386">
        <f>C325</f>
        <v>1477.5</v>
      </c>
      <c r="D329" s="377" t="s">
        <v>526</v>
      </c>
      <c r="E329" s="150"/>
      <c r="F329" s="406"/>
      <c r="G329" s="495"/>
      <c r="H329" s="495"/>
      <c r="I329" s="495"/>
      <c r="J329" s="182"/>
      <c r="K329" s="182"/>
      <c r="L329" s="182"/>
      <c r="M329" s="182"/>
    </row>
    <row r="330" spans="1:13" s="247" customFormat="1" ht="14.4" x14ac:dyDescent="0.3">
      <c r="A330" s="1045" t="s">
        <v>527</v>
      </c>
      <c r="B330" s="1046"/>
      <c r="C330" s="1047">
        <f>SUM(C328:C329)</f>
        <v>37499.21</v>
      </c>
      <c r="D330" s="1048"/>
      <c r="E330" s="427" t="s">
        <v>1</v>
      </c>
      <c r="F330" s="366"/>
      <c r="G330" s="427" t="s">
        <v>533</v>
      </c>
      <c r="H330" s="495"/>
      <c r="I330" s="425">
        <f>'Payment T&amp;T LAWSON'!$N$42</f>
        <v>37499.21</v>
      </c>
      <c r="J330" s="182"/>
      <c r="K330" s="182"/>
      <c r="L330" s="182"/>
      <c r="M330" s="182"/>
    </row>
    <row r="331" spans="1:13" s="247" customFormat="1" x14ac:dyDescent="0.25">
      <c r="A331" s="415"/>
      <c r="B331" s="372"/>
      <c r="C331" s="372"/>
      <c r="D331" s="372"/>
      <c r="E331" s="372"/>
      <c r="F331" s="416"/>
      <c r="G331" s="495"/>
      <c r="H331" s="495"/>
      <c r="I331" s="495"/>
    </row>
    <row r="332" spans="1:13" s="247" customFormat="1" x14ac:dyDescent="0.25">
      <c r="A332" s="150"/>
      <c r="B332" s="150"/>
      <c r="C332" s="150"/>
      <c r="D332" s="150"/>
      <c r="E332" s="150"/>
      <c r="F332" s="150"/>
      <c r="G332" s="495"/>
      <c r="H332" s="495"/>
      <c r="I332" s="495"/>
    </row>
    <row r="334" spans="1:13" s="247" customFormat="1" ht="15.6" x14ac:dyDescent="0.3">
      <c r="A334" s="1051" t="s">
        <v>551</v>
      </c>
      <c r="B334" s="1052"/>
      <c r="C334" s="1052"/>
      <c r="D334" s="1052"/>
      <c r="E334" s="1052"/>
      <c r="F334" s="1053"/>
      <c r="G334" s="602"/>
      <c r="H334" s="602"/>
      <c r="I334" s="495" t="s">
        <v>578</v>
      </c>
      <c r="J334" s="182"/>
      <c r="K334" s="182"/>
      <c r="L334" s="182"/>
      <c r="M334" s="182"/>
    </row>
    <row r="335" spans="1:13" s="247" customFormat="1" ht="15.6" x14ac:dyDescent="0.3">
      <c r="A335" s="1054" t="str">
        <f>$A$2</f>
        <v xml:space="preserve">School Year 2020-2021 </v>
      </c>
      <c r="B335" s="1055"/>
      <c r="C335" s="1055"/>
      <c r="D335" s="1055"/>
      <c r="E335" s="1055"/>
      <c r="F335" s="1056"/>
      <c r="G335" s="602"/>
      <c r="H335" s="602"/>
      <c r="I335" s="604" t="s">
        <v>579</v>
      </c>
      <c r="J335" s="182"/>
      <c r="K335" s="182"/>
      <c r="L335" s="182"/>
      <c r="M335" s="182"/>
    </row>
    <row r="336" spans="1:13" s="247" customFormat="1" x14ac:dyDescent="0.25">
      <c r="A336" s="1037" t="s">
        <v>513</v>
      </c>
      <c r="B336" s="1038"/>
      <c r="C336" s="150"/>
      <c r="D336" s="150"/>
      <c r="E336" s="150"/>
      <c r="F336" s="406"/>
      <c r="G336" s="495"/>
      <c r="H336" s="495"/>
      <c r="I336" s="493" t="s">
        <v>580</v>
      </c>
      <c r="J336" s="182"/>
      <c r="K336" s="182"/>
      <c r="L336" s="182"/>
      <c r="M336" s="182"/>
    </row>
    <row r="337" spans="1:13" s="247" customFormat="1" ht="14.4" x14ac:dyDescent="0.3">
      <c r="A337" s="407"/>
      <c r="B337" s="353"/>
      <c r="C337" s="354" t="s">
        <v>514</v>
      </c>
      <c r="D337" s="355" t="s">
        <v>515</v>
      </c>
      <c r="E337" s="392"/>
      <c r="F337" s="587"/>
      <c r="G337" s="388"/>
      <c r="H337" s="388"/>
      <c r="I337" s="495"/>
      <c r="J337" s="182"/>
      <c r="K337" s="182"/>
      <c r="L337" s="182"/>
      <c r="M337" s="182"/>
    </row>
    <row r="338" spans="1:13" s="247" customFormat="1" ht="14.4" x14ac:dyDescent="0.3">
      <c r="A338" s="407"/>
      <c r="B338" s="353"/>
      <c r="C338" s="356" t="s">
        <v>516</v>
      </c>
      <c r="D338" s="357" t="s">
        <v>517</v>
      </c>
      <c r="E338" s="393"/>
      <c r="F338" s="588"/>
      <c r="G338" s="390"/>
      <c r="H338" s="390"/>
      <c r="I338" s="495"/>
      <c r="J338" s="182"/>
      <c r="K338" s="182"/>
      <c r="L338" s="182"/>
      <c r="M338" s="182"/>
    </row>
    <row r="339" spans="1:13" s="247" customFormat="1" x14ac:dyDescent="0.25">
      <c r="A339" s="134" t="s">
        <v>389</v>
      </c>
      <c r="B339" s="150"/>
      <c r="C339" s="432">
        <f>'TT entry &amp; transportation'!$K$97</f>
        <v>60.833300000000001</v>
      </c>
      <c r="D339" s="435">
        <f>C339*$B$172</f>
        <v>226687.44</v>
      </c>
      <c r="E339" s="150"/>
      <c r="F339" s="406"/>
      <c r="G339" s="495"/>
      <c r="H339" s="495"/>
      <c r="I339" s="495"/>
    </row>
    <row r="340" spans="1:13" s="487" customFormat="1" hidden="1" x14ac:dyDescent="0.25">
      <c r="A340" s="134" t="s">
        <v>10</v>
      </c>
      <c r="B340" s="150"/>
      <c r="C340" s="433">
        <f>'TT entry &amp; transportation'!K98</f>
        <v>0</v>
      </c>
      <c r="D340" s="436">
        <f>'TT entry &amp; transportation'!L98</f>
        <v>0</v>
      </c>
      <c r="E340" s="150"/>
      <c r="F340" s="406"/>
      <c r="G340" s="495"/>
      <c r="H340" s="495"/>
      <c r="I340" s="495"/>
    </row>
    <row r="341" spans="1:13" s="864" customFormat="1" x14ac:dyDescent="0.25">
      <c r="A341" s="134" t="s">
        <v>16</v>
      </c>
      <c r="B341" s="150"/>
      <c r="C341" s="433">
        <f>'TT entry &amp; transportation'!K99</f>
        <v>2</v>
      </c>
      <c r="D341" s="436">
        <f>'TT entry &amp; transportation'!L99</f>
        <v>7452.74</v>
      </c>
      <c r="E341" s="150"/>
      <c r="F341" s="406"/>
      <c r="G341" s="783"/>
      <c r="H341" s="783"/>
      <c r="I341" s="783"/>
    </row>
    <row r="342" spans="1:13" s="487" customFormat="1" hidden="1" x14ac:dyDescent="0.25">
      <c r="A342" s="134" t="s">
        <v>602</v>
      </c>
      <c r="B342" s="150"/>
      <c r="C342" s="433">
        <f>'TT entry &amp; transportation'!K100</f>
        <v>0</v>
      </c>
      <c r="D342" s="436">
        <f>'TT entry &amp; transportation'!L100</f>
        <v>0</v>
      </c>
      <c r="E342" s="150"/>
      <c r="F342" s="406"/>
      <c r="G342" s="495"/>
      <c r="H342" s="495"/>
      <c r="I342" s="495"/>
    </row>
    <row r="343" spans="1:13" s="247" customFormat="1" x14ac:dyDescent="0.25">
      <c r="A343" s="134" t="s">
        <v>388</v>
      </c>
      <c r="B343" s="150"/>
      <c r="C343" s="433">
        <f>'TT entry &amp; transportation'!$K$101</f>
        <v>94.333150000000003</v>
      </c>
      <c r="D343" s="436">
        <f t="shared" ref="D343:D350" si="5">C343*$B$172</f>
        <v>351520.31</v>
      </c>
      <c r="E343" s="150"/>
      <c r="F343" s="406"/>
      <c r="G343" s="495"/>
      <c r="H343" s="495"/>
      <c r="I343" s="495"/>
    </row>
    <row r="344" spans="1:13" s="487" customFormat="1" x14ac:dyDescent="0.25">
      <c r="A344" s="134" t="s">
        <v>638</v>
      </c>
      <c r="B344" s="150"/>
      <c r="C344" s="433">
        <f>'TT entry &amp; transportation'!K102</f>
        <v>1</v>
      </c>
      <c r="D344" s="436">
        <f>'TT entry &amp; transportation'!L102</f>
        <v>3726.37</v>
      </c>
      <c r="E344" s="150"/>
      <c r="F344" s="406"/>
      <c r="G344" s="495"/>
      <c r="H344" s="495"/>
      <c r="I344" s="495"/>
    </row>
    <row r="345" spans="1:13" s="247" customFormat="1" x14ac:dyDescent="0.25">
      <c r="A345" s="134" t="s">
        <v>370</v>
      </c>
      <c r="B345" s="150"/>
      <c r="C345" s="433">
        <f>'TT entry &amp; transportation'!$K$103</f>
        <v>67.499700000000004</v>
      </c>
      <c r="D345" s="436">
        <f>C345*$B$172</f>
        <v>251528.92</v>
      </c>
      <c r="E345" s="150"/>
      <c r="F345" s="406"/>
      <c r="G345" s="493" t="s">
        <v>1</v>
      </c>
      <c r="H345" s="495"/>
      <c r="I345" s="495"/>
    </row>
    <row r="346" spans="1:13" s="864" customFormat="1" hidden="1" x14ac:dyDescent="0.25">
      <c r="A346" s="134" t="s">
        <v>31</v>
      </c>
      <c r="B346" s="150"/>
      <c r="C346" s="433">
        <f>'TT entry &amp; transportation'!$K$104</f>
        <v>0</v>
      </c>
      <c r="D346" s="436">
        <f>C346*$B$172</f>
        <v>0</v>
      </c>
      <c r="E346" s="150"/>
      <c r="F346" s="406"/>
      <c r="G346" s="722"/>
      <c r="H346" s="783"/>
      <c r="I346" s="783"/>
    </row>
    <row r="347" spans="1:13" s="247" customFormat="1" x14ac:dyDescent="0.25">
      <c r="A347" s="130" t="s">
        <v>387</v>
      </c>
      <c r="B347" s="150"/>
      <c r="C347" s="433">
        <f>'TT entry &amp; transportation'!$K$105</f>
        <v>3</v>
      </c>
      <c r="D347" s="436">
        <f t="shared" si="5"/>
        <v>11179.11</v>
      </c>
      <c r="E347" s="130" t="s">
        <v>1</v>
      </c>
      <c r="F347" s="406"/>
      <c r="G347" s="495"/>
      <c r="H347" s="495"/>
      <c r="I347" s="495"/>
    </row>
    <row r="348" spans="1:13" s="487" customFormat="1" hidden="1" x14ac:dyDescent="0.25">
      <c r="A348" s="130" t="s">
        <v>639</v>
      </c>
      <c r="B348" s="150"/>
      <c r="C348" s="433">
        <f>'TT entry &amp; transportation'!K106</f>
        <v>0</v>
      </c>
      <c r="D348" s="436">
        <f>'TT entry &amp; transportation'!L106</f>
        <v>0</v>
      </c>
      <c r="E348" s="722"/>
      <c r="F348" s="406"/>
      <c r="G348" s="495"/>
      <c r="H348" s="495"/>
      <c r="I348" s="495"/>
    </row>
    <row r="349" spans="1:13" s="247" customFormat="1" hidden="1" x14ac:dyDescent="0.25">
      <c r="A349" s="130" t="s">
        <v>386</v>
      </c>
      <c r="B349" s="150"/>
      <c r="C349" s="433">
        <f>'TT entry &amp; transportation'!$K$107</f>
        <v>0</v>
      </c>
      <c r="D349" s="436">
        <f t="shared" si="5"/>
        <v>0</v>
      </c>
      <c r="E349" s="150"/>
      <c r="F349" s="406"/>
      <c r="G349" s="495"/>
      <c r="H349" s="495"/>
      <c r="I349" s="495"/>
    </row>
    <row r="350" spans="1:13" s="247" customFormat="1" x14ac:dyDescent="0.25">
      <c r="A350" s="130" t="s">
        <v>58</v>
      </c>
      <c r="B350" s="150"/>
      <c r="C350" s="433">
        <f>'TT entry &amp; transportation'!$K$108</f>
        <v>1</v>
      </c>
      <c r="D350" s="436">
        <f t="shared" si="5"/>
        <v>3726.37</v>
      </c>
      <c r="E350" s="130" t="s">
        <v>1</v>
      </c>
      <c r="F350" s="406"/>
      <c r="G350" s="495"/>
      <c r="H350" s="495"/>
      <c r="I350" s="495"/>
    </row>
    <row r="351" spans="1:13" s="247" customFormat="1" ht="14.4" x14ac:dyDescent="0.3">
      <c r="A351" s="1045" t="s">
        <v>518</v>
      </c>
      <c r="B351" s="1046"/>
      <c r="C351" s="360">
        <f>SUM(C339:C350)</f>
        <v>229.66614999999999</v>
      </c>
      <c r="D351" s="361">
        <f>SUM(D339:D350)</f>
        <v>855821.26</v>
      </c>
      <c r="E351" s="424" t="s">
        <v>1</v>
      </c>
      <c r="F351" s="589"/>
      <c r="G351" s="424" t="s">
        <v>532</v>
      </c>
      <c r="H351" s="425"/>
      <c r="I351" s="425">
        <f>'TT entry &amp; transportation'!$M$109</f>
        <v>855821.26</v>
      </c>
      <c r="J351" s="133"/>
      <c r="K351" s="133"/>
      <c r="L351" s="133"/>
      <c r="M351" s="133"/>
    </row>
    <row r="352" spans="1:13" s="247" customFormat="1" ht="14.4" x14ac:dyDescent="0.3">
      <c r="A352" s="409" t="s">
        <v>596</v>
      </c>
      <c r="B352" s="448">
        <f>'TT entry &amp; transportation'!$B$266</f>
        <v>3726.3709260000001</v>
      </c>
      <c r="C352" s="150"/>
      <c r="D352" s="150"/>
      <c r="E352" s="427" t="s">
        <v>1</v>
      </c>
      <c r="F352" s="176"/>
      <c r="G352" s="427" t="s">
        <v>533</v>
      </c>
      <c r="H352" s="175"/>
      <c r="I352" s="430">
        <f>'Payment T&amp;T LAWSON'!$I$41</f>
        <v>855821.26</v>
      </c>
    </row>
    <row r="353" spans="1:13" s="247" customFormat="1" x14ac:dyDescent="0.25">
      <c r="A353" s="413"/>
      <c r="B353" s="150"/>
      <c r="C353" s="150"/>
      <c r="D353" s="150"/>
      <c r="E353" s="150"/>
      <c r="F353" s="406"/>
      <c r="G353" s="495"/>
      <c r="H353" s="495"/>
      <c r="I353" s="495"/>
    </row>
    <row r="354" spans="1:13" s="247" customFormat="1" ht="14.4" x14ac:dyDescent="0.3">
      <c r="A354" s="1049" t="s">
        <v>523</v>
      </c>
      <c r="B354" s="1050"/>
      <c r="C354" s="431">
        <f>'CTE TRANS'!$AL$42</f>
        <v>0</v>
      </c>
      <c r="D354" s="150"/>
      <c r="E354" s="427" t="s">
        <v>1</v>
      </c>
      <c r="F354" s="597"/>
      <c r="G354" s="427" t="s">
        <v>533</v>
      </c>
      <c r="H354" s="427"/>
      <c r="I354" s="430">
        <f>'Payment T&amp;T LAWSON'!$K$41</f>
        <v>0</v>
      </c>
      <c r="J354" s="182"/>
      <c r="K354" s="182"/>
      <c r="L354" s="182"/>
      <c r="M354" s="182"/>
    </row>
    <row r="355" spans="1:13" s="247" customFormat="1" x14ac:dyDescent="0.25">
      <c r="A355" s="413"/>
      <c r="B355" s="150"/>
      <c r="C355" s="150"/>
      <c r="D355" s="150"/>
      <c r="E355" s="150"/>
      <c r="F355" s="406"/>
      <c r="G355" s="495"/>
      <c r="H355" s="495"/>
      <c r="I355" s="495"/>
      <c r="J355" s="182"/>
      <c r="K355" s="182"/>
      <c r="L355" s="182"/>
      <c r="M355" s="182"/>
    </row>
    <row r="356" spans="1:13" s="247" customFormat="1" ht="14.4" x14ac:dyDescent="0.3">
      <c r="A356" s="1049" t="s">
        <v>524</v>
      </c>
      <c r="B356" s="1050"/>
      <c r="C356" s="371" t="s">
        <v>1</v>
      </c>
      <c r="D356" s="372" t="s">
        <v>1</v>
      </c>
      <c r="E356" s="150"/>
      <c r="F356" s="406"/>
      <c r="G356" s="495"/>
      <c r="H356" s="495"/>
      <c r="I356" s="495"/>
      <c r="J356" s="182"/>
      <c r="K356" s="182"/>
      <c r="L356" s="182"/>
      <c r="M356" s="182"/>
    </row>
    <row r="357" spans="1:13" s="247" customFormat="1" x14ac:dyDescent="0.25">
      <c r="A357" s="413"/>
      <c r="B357" s="150"/>
      <c r="C357" s="373">
        <f>D351</f>
        <v>855821.26</v>
      </c>
      <c r="D357" s="374" t="s">
        <v>167</v>
      </c>
      <c r="E357" s="150"/>
      <c r="F357" s="406"/>
      <c r="G357" s="495"/>
      <c r="H357" s="495"/>
      <c r="I357" s="495"/>
      <c r="J357" s="182"/>
      <c r="K357" s="182"/>
      <c r="L357" s="182"/>
      <c r="M357" s="182"/>
    </row>
    <row r="358" spans="1:13" s="247" customFormat="1" ht="14.4" x14ac:dyDescent="0.3">
      <c r="A358" s="414" t="s">
        <v>1</v>
      </c>
      <c r="B358" s="375"/>
      <c r="C358" s="386">
        <f>C354</f>
        <v>0</v>
      </c>
      <c r="D358" s="377" t="s">
        <v>526</v>
      </c>
      <c r="E358" s="150"/>
      <c r="F358" s="406"/>
      <c r="G358" s="495"/>
      <c r="H358" s="495"/>
      <c r="I358" s="495"/>
      <c r="J358" s="182"/>
      <c r="K358" s="182"/>
      <c r="L358" s="182"/>
      <c r="M358" s="182"/>
    </row>
    <row r="359" spans="1:13" s="247" customFormat="1" ht="14.4" x14ac:dyDescent="0.3">
      <c r="A359" s="1045" t="s">
        <v>527</v>
      </c>
      <c r="B359" s="1046"/>
      <c r="C359" s="1047">
        <f>SUM(C357:C358)</f>
        <v>855821.26</v>
      </c>
      <c r="D359" s="1048"/>
      <c r="E359" s="427" t="s">
        <v>1</v>
      </c>
      <c r="F359" s="366"/>
      <c r="G359" s="427" t="s">
        <v>533</v>
      </c>
      <c r="H359" s="495"/>
      <c r="I359" s="425">
        <f>'Payment T&amp;T LAWSON'!$N$41</f>
        <v>855821.26</v>
      </c>
      <c r="J359" s="182"/>
      <c r="K359" s="182"/>
      <c r="L359" s="182"/>
      <c r="M359" s="182"/>
    </row>
    <row r="360" spans="1:13" s="247" customFormat="1" x14ac:dyDescent="0.25">
      <c r="A360" s="415"/>
      <c r="B360" s="372"/>
      <c r="C360" s="372"/>
      <c r="D360" s="372"/>
      <c r="E360" s="372"/>
      <c r="F360" s="416"/>
      <c r="G360" s="495"/>
      <c r="H360" s="495"/>
      <c r="I360" s="495"/>
    </row>
    <row r="361" spans="1:13" s="247" customFormat="1" x14ac:dyDescent="0.25">
      <c r="A361" s="150"/>
      <c r="B361" s="150"/>
      <c r="C361" s="150"/>
      <c r="D361" s="150"/>
      <c r="E361" s="150"/>
      <c r="F361" s="150"/>
      <c r="G361" s="495"/>
      <c r="H361" s="495"/>
      <c r="I361" s="495"/>
    </row>
    <row r="363" spans="1:13" s="247" customFormat="1" ht="15.6" x14ac:dyDescent="0.3">
      <c r="A363" s="1051" t="s">
        <v>553</v>
      </c>
      <c r="B363" s="1052"/>
      <c r="C363" s="1052"/>
      <c r="D363" s="1052"/>
      <c r="E363" s="1052"/>
      <c r="F363" s="1053"/>
      <c r="G363" s="602"/>
      <c r="H363" s="602"/>
      <c r="I363" s="495"/>
      <c r="J363" s="182"/>
      <c r="K363" s="182"/>
      <c r="L363" s="182"/>
      <c r="M363" s="182"/>
    </row>
    <row r="364" spans="1:13" s="247" customFormat="1" ht="15.6" x14ac:dyDescent="0.3">
      <c r="A364" s="1054" t="str">
        <f>$A$2</f>
        <v xml:space="preserve">School Year 2020-2021 </v>
      </c>
      <c r="B364" s="1055"/>
      <c r="C364" s="1055"/>
      <c r="D364" s="1055"/>
      <c r="E364" s="1055"/>
      <c r="F364" s="1056"/>
      <c r="G364" s="602"/>
      <c r="H364" s="602"/>
      <c r="I364" s="495"/>
      <c r="J364" s="182"/>
      <c r="K364" s="182"/>
      <c r="L364" s="182"/>
      <c r="M364" s="182"/>
    </row>
    <row r="365" spans="1:13" s="247" customFormat="1" x14ac:dyDescent="0.25">
      <c r="A365" s="1037" t="s">
        <v>513</v>
      </c>
      <c r="B365" s="1038"/>
      <c r="C365" s="150"/>
      <c r="D365" s="150"/>
      <c r="E365" s="150"/>
      <c r="F365" s="406"/>
      <c r="G365" s="495"/>
      <c r="H365" s="495"/>
      <c r="I365" s="495"/>
      <c r="J365" s="182"/>
      <c r="K365" s="182"/>
      <c r="L365" s="182"/>
      <c r="M365" s="182"/>
    </row>
    <row r="366" spans="1:13" s="247" customFormat="1" ht="14.4" x14ac:dyDescent="0.3">
      <c r="A366" s="407"/>
      <c r="B366" s="353"/>
      <c r="C366" s="354" t="s">
        <v>514</v>
      </c>
      <c r="D366" s="355" t="s">
        <v>515</v>
      </c>
      <c r="E366" s="392"/>
      <c r="F366" s="587"/>
      <c r="G366" s="388"/>
      <c r="H366" s="388"/>
      <c r="I366" s="495"/>
      <c r="J366" s="182"/>
      <c r="K366" s="182"/>
      <c r="L366" s="182"/>
      <c r="M366" s="182"/>
    </row>
    <row r="367" spans="1:13" s="247" customFormat="1" ht="14.4" x14ac:dyDescent="0.3">
      <c r="A367" s="407"/>
      <c r="B367" s="353"/>
      <c r="C367" s="356" t="s">
        <v>516</v>
      </c>
      <c r="D367" s="357" t="s">
        <v>517</v>
      </c>
      <c r="E367" s="393"/>
      <c r="F367" s="588"/>
      <c r="G367" s="390"/>
      <c r="H367" s="390"/>
      <c r="I367" s="495"/>
      <c r="J367" s="182"/>
      <c r="K367" s="182"/>
      <c r="L367" s="182"/>
      <c r="M367" s="182"/>
    </row>
    <row r="368" spans="1:13" s="864" customFormat="1" ht="14.4" x14ac:dyDescent="0.3">
      <c r="A368" s="134" t="s">
        <v>152</v>
      </c>
      <c r="B368" s="353"/>
      <c r="C368" s="432">
        <f>'TT entry &amp; transportation'!$K$117</f>
        <v>1</v>
      </c>
      <c r="D368" s="435">
        <f>C368*$B$381</f>
        <v>3726.37</v>
      </c>
      <c r="E368" s="389"/>
      <c r="F368" s="588"/>
      <c r="G368" s="390"/>
      <c r="H368" s="390"/>
      <c r="I368" s="783"/>
      <c r="J368" s="784"/>
      <c r="K368" s="784"/>
      <c r="L368" s="784"/>
      <c r="M368" s="784"/>
    </row>
    <row r="369" spans="1:13" s="247" customFormat="1" x14ac:dyDescent="0.25">
      <c r="A369" s="134" t="s">
        <v>395</v>
      </c>
      <c r="B369" s="150"/>
      <c r="C369" s="433">
        <f>'TT entry &amp; transportation'!$K$119</f>
        <v>1.5</v>
      </c>
      <c r="D369" s="436">
        <f>C369*$B$381</f>
        <v>5589.56</v>
      </c>
      <c r="E369" s="150"/>
      <c r="F369" s="406"/>
      <c r="G369" s="495"/>
      <c r="H369" s="495"/>
      <c r="I369" s="495"/>
    </row>
    <row r="370" spans="1:13" s="864" customFormat="1" x14ac:dyDescent="0.25">
      <c r="A370" s="134" t="s">
        <v>866</v>
      </c>
      <c r="B370" s="150"/>
      <c r="C370" s="433">
        <f>'TT entry &amp; transportation'!K120</f>
        <v>1</v>
      </c>
      <c r="D370" s="436">
        <f>C370*$B$381</f>
        <v>3726.37</v>
      </c>
      <c r="E370" s="150"/>
      <c r="F370" s="406"/>
      <c r="G370" s="783"/>
      <c r="H370" s="783"/>
      <c r="I370" s="783"/>
    </row>
    <row r="371" spans="1:13" s="487" customFormat="1" hidden="1" x14ac:dyDescent="0.25">
      <c r="A371" s="134" t="s">
        <v>638</v>
      </c>
      <c r="B371" s="150"/>
      <c r="C371" s="433">
        <f>'TT entry &amp; transportation'!K122</f>
        <v>0</v>
      </c>
      <c r="D371" s="436">
        <f>'TT entry &amp; transportation'!L122</f>
        <v>0</v>
      </c>
      <c r="E371" s="150"/>
      <c r="F371" s="406"/>
      <c r="G371" s="495"/>
      <c r="H371" s="495"/>
      <c r="I371" s="495"/>
    </row>
    <row r="372" spans="1:13" s="487" customFormat="1" hidden="1" x14ac:dyDescent="0.25">
      <c r="A372" s="134" t="s">
        <v>29</v>
      </c>
      <c r="B372" s="150"/>
      <c r="C372" s="433">
        <f>'TT entry &amp; transportation'!K123</f>
        <v>0</v>
      </c>
      <c r="D372" s="436">
        <f>'TT entry &amp; transportation'!L123</f>
        <v>0</v>
      </c>
      <c r="E372" s="150"/>
      <c r="F372" s="406"/>
      <c r="G372" s="495"/>
      <c r="H372" s="495"/>
      <c r="I372" s="495"/>
    </row>
    <row r="373" spans="1:13" s="247" customFormat="1" hidden="1" x14ac:dyDescent="0.25">
      <c r="A373" s="130" t="s">
        <v>161</v>
      </c>
      <c r="B373" s="150"/>
      <c r="C373" s="433">
        <f>'TT entry &amp; transportation'!$K$124</f>
        <v>0</v>
      </c>
      <c r="D373" s="436">
        <f>C373*$B$381</f>
        <v>0</v>
      </c>
      <c r="E373" s="130" t="s">
        <v>1</v>
      </c>
      <c r="F373" s="406"/>
      <c r="G373" s="495"/>
      <c r="H373" s="495"/>
      <c r="I373" s="495"/>
    </row>
    <row r="374" spans="1:13" s="864" customFormat="1" x14ac:dyDescent="0.25">
      <c r="A374" s="130" t="s">
        <v>897</v>
      </c>
      <c r="B374" s="150"/>
      <c r="C374" s="433">
        <f>'TT entry &amp; transportation'!K127</f>
        <v>0.5</v>
      </c>
      <c r="D374" s="436">
        <f>C374*$B$381</f>
        <v>1863.19</v>
      </c>
      <c r="E374" s="130"/>
      <c r="F374" s="406"/>
      <c r="G374" s="783"/>
      <c r="H374" s="783"/>
      <c r="I374" s="783"/>
    </row>
    <row r="375" spans="1:13" s="487" customFormat="1" hidden="1" x14ac:dyDescent="0.25">
      <c r="A375" s="130" t="s">
        <v>33</v>
      </c>
      <c r="B375" s="150"/>
      <c r="C375" s="433">
        <f>'TT entry &amp; transportation'!K125</f>
        <v>0</v>
      </c>
      <c r="D375" s="436">
        <f>'TT entry &amp; transportation'!L125</f>
        <v>0</v>
      </c>
      <c r="E375" s="130"/>
      <c r="F375" s="406"/>
      <c r="G375" s="495"/>
      <c r="H375" s="495"/>
      <c r="I375" s="495"/>
    </row>
    <row r="376" spans="1:13" s="247" customFormat="1" x14ac:dyDescent="0.25">
      <c r="A376" s="134" t="s">
        <v>397</v>
      </c>
      <c r="B376" s="150"/>
      <c r="C376" s="433">
        <f>'TT entry &amp; transportation'!$K$128</f>
        <v>4</v>
      </c>
      <c r="D376" s="436">
        <f>C376*$B$381</f>
        <v>14905.48</v>
      </c>
      <c r="E376" s="130" t="s">
        <v>1</v>
      </c>
      <c r="F376" s="406"/>
      <c r="G376" s="493" t="s">
        <v>1</v>
      </c>
      <c r="H376" s="495"/>
      <c r="I376" s="495"/>
    </row>
    <row r="377" spans="1:13" s="247" customFormat="1" hidden="1" x14ac:dyDescent="0.25">
      <c r="A377" s="134" t="s">
        <v>394</v>
      </c>
      <c r="B377" s="150"/>
      <c r="C377" s="433">
        <f>'TT entry &amp; transportation'!$K$129</f>
        <v>0</v>
      </c>
      <c r="D377" s="436">
        <f>C377*$B$381</f>
        <v>0</v>
      </c>
      <c r="E377" s="150"/>
      <c r="F377" s="406"/>
      <c r="G377" s="495"/>
      <c r="H377" s="495"/>
      <c r="I377" s="495"/>
    </row>
    <row r="378" spans="1:13" s="247" customFormat="1" x14ac:dyDescent="0.25">
      <c r="A378" s="134" t="s">
        <v>390</v>
      </c>
      <c r="B378" s="150"/>
      <c r="C378" s="433">
        <f>'TT entry &amp; transportation'!$K$130</f>
        <v>5.6666499999999997</v>
      </c>
      <c r="D378" s="436">
        <f>C378*$B$381</f>
        <v>21116.04</v>
      </c>
      <c r="E378" s="130" t="s">
        <v>1</v>
      </c>
      <c r="F378" s="406"/>
      <c r="G378" s="722" t="s">
        <v>1</v>
      </c>
      <c r="H378" s="495"/>
      <c r="I378" s="495"/>
    </row>
    <row r="379" spans="1:13" s="864" customFormat="1" hidden="1" x14ac:dyDescent="0.25">
      <c r="A379" s="134" t="s">
        <v>58</v>
      </c>
      <c r="B379" s="150"/>
      <c r="C379" s="433">
        <f>'TT entry &amp; transportation'!K131</f>
        <v>0</v>
      </c>
      <c r="D379" s="437">
        <f>C379*$B$381</f>
        <v>0</v>
      </c>
      <c r="E379" s="130" t="s">
        <v>1</v>
      </c>
      <c r="F379" s="406"/>
      <c r="G379" s="783"/>
      <c r="H379" s="783"/>
      <c r="I379" s="783"/>
    </row>
    <row r="380" spans="1:13" s="247" customFormat="1" ht="14.4" x14ac:dyDescent="0.3">
      <c r="A380" s="1045" t="s">
        <v>518</v>
      </c>
      <c r="B380" s="1046"/>
      <c r="C380" s="360">
        <f>SUM(C368:C379)</f>
        <v>13.666650000000001</v>
      </c>
      <c r="D380" s="361">
        <f>SUM(D368:D379)</f>
        <v>50927.01</v>
      </c>
      <c r="E380" s="424" t="s">
        <v>1</v>
      </c>
      <c r="F380" s="589"/>
      <c r="G380" s="424" t="s">
        <v>532</v>
      </c>
      <c r="H380" s="425"/>
      <c r="I380" s="425">
        <f>'TT entry &amp; transportation'!$M$132</f>
        <v>50927.01</v>
      </c>
      <c r="J380" s="133"/>
      <c r="K380" s="133"/>
      <c r="L380" s="133"/>
      <c r="M380" s="133"/>
    </row>
    <row r="381" spans="1:13" s="247" customFormat="1" ht="14.4" x14ac:dyDescent="0.3">
      <c r="A381" s="409" t="s">
        <v>596</v>
      </c>
      <c r="B381" s="448">
        <f>'TT entry &amp; transportation'!$B$266</f>
        <v>3726.3709260000001</v>
      </c>
      <c r="C381" s="150"/>
      <c r="D381" s="150"/>
      <c r="E381" s="427" t="s">
        <v>1</v>
      </c>
      <c r="F381" s="176"/>
      <c r="G381" s="427" t="s">
        <v>533</v>
      </c>
      <c r="H381" s="175"/>
      <c r="I381" s="430">
        <f>'Payment T&amp;T LAWSON'!$I$46</f>
        <v>50927.01</v>
      </c>
    </row>
    <row r="382" spans="1:13" s="247" customFormat="1" x14ac:dyDescent="0.25">
      <c r="A382" s="413"/>
      <c r="B382" s="150"/>
      <c r="C382" s="150"/>
      <c r="D382" s="150"/>
      <c r="E382" s="150"/>
      <c r="F382" s="406"/>
      <c r="G382" s="495"/>
      <c r="H382" s="495"/>
      <c r="I382" s="495"/>
    </row>
    <row r="383" spans="1:13" s="247" customFormat="1" ht="14.4" x14ac:dyDescent="0.3">
      <c r="A383" s="1049" t="s">
        <v>523</v>
      </c>
      <c r="B383" s="1050"/>
      <c r="C383" s="431">
        <f>'CTE TRANS'!$AL$47</f>
        <v>8125.5</v>
      </c>
      <c r="D383" s="150"/>
      <c r="E383" s="427" t="s">
        <v>1</v>
      </c>
      <c r="F383" s="597"/>
      <c r="G383" s="427" t="s">
        <v>533</v>
      </c>
      <c r="H383" s="427"/>
      <c r="I383" s="430">
        <f>'Payment T&amp;T LAWSON'!$K$46</f>
        <v>8125.5</v>
      </c>
      <c r="J383" s="182"/>
      <c r="K383" s="182"/>
      <c r="L383" s="182"/>
      <c r="M383" s="182"/>
    </row>
    <row r="384" spans="1:13" s="247" customFormat="1" x14ac:dyDescent="0.25">
      <c r="A384" s="413"/>
      <c r="B384" s="150"/>
      <c r="C384" s="150"/>
      <c r="D384" s="150"/>
      <c r="E384" s="150"/>
      <c r="F384" s="406"/>
      <c r="G384" s="495"/>
      <c r="H384" s="495"/>
      <c r="I384" s="495"/>
      <c r="J384" s="182"/>
      <c r="K384" s="182"/>
      <c r="L384" s="182"/>
      <c r="M384" s="182"/>
    </row>
    <row r="385" spans="1:13" s="247" customFormat="1" ht="14.4" x14ac:dyDescent="0.3">
      <c r="A385" s="1049" t="s">
        <v>524</v>
      </c>
      <c r="B385" s="1050"/>
      <c r="C385" s="371" t="s">
        <v>1</v>
      </c>
      <c r="D385" s="372" t="s">
        <v>1</v>
      </c>
      <c r="E385" s="150"/>
      <c r="F385" s="406"/>
      <c r="G385" s="495"/>
      <c r="H385" s="495"/>
      <c r="I385" s="495"/>
      <c r="J385" s="182"/>
      <c r="K385" s="182"/>
      <c r="L385" s="182"/>
      <c r="M385" s="182"/>
    </row>
    <row r="386" spans="1:13" s="247" customFormat="1" x14ac:dyDescent="0.25">
      <c r="A386" s="413"/>
      <c r="B386" s="150"/>
      <c r="C386" s="373">
        <f>D380</f>
        <v>50927.01</v>
      </c>
      <c r="D386" s="374" t="s">
        <v>167</v>
      </c>
      <c r="E386" s="150"/>
      <c r="F386" s="406"/>
      <c r="G386" s="495"/>
      <c r="H386" s="495"/>
      <c r="I386" s="495"/>
      <c r="J386" s="182"/>
      <c r="K386" s="182"/>
      <c r="L386" s="182"/>
      <c r="M386" s="182"/>
    </row>
    <row r="387" spans="1:13" s="247" customFormat="1" ht="14.4" x14ac:dyDescent="0.3">
      <c r="A387" s="414" t="s">
        <v>1</v>
      </c>
      <c r="B387" s="375"/>
      <c r="C387" s="386">
        <f>C383</f>
        <v>8125.5</v>
      </c>
      <c r="D387" s="377" t="s">
        <v>526</v>
      </c>
      <c r="E387" s="150"/>
      <c r="F387" s="406"/>
      <c r="G387" s="495"/>
      <c r="H387" s="495"/>
      <c r="I387" s="495"/>
      <c r="J387" s="182"/>
      <c r="K387" s="182"/>
      <c r="L387" s="182"/>
      <c r="M387" s="182"/>
    </row>
    <row r="388" spans="1:13" s="247" customFormat="1" ht="14.4" x14ac:dyDescent="0.3">
      <c r="A388" s="1045" t="s">
        <v>527</v>
      </c>
      <c r="B388" s="1046"/>
      <c r="C388" s="1047">
        <f>SUM(C386:C387)</f>
        <v>59052.51</v>
      </c>
      <c r="D388" s="1048"/>
      <c r="E388" s="427" t="s">
        <v>1</v>
      </c>
      <c r="F388" s="366"/>
      <c r="G388" s="427" t="s">
        <v>533</v>
      </c>
      <c r="H388" s="495"/>
      <c r="I388" s="425">
        <f>'Payment T&amp;T LAWSON'!$N$46</f>
        <v>59052.51</v>
      </c>
      <c r="J388" s="182"/>
      <c r="K388" s="182"/>
      <c r="L388" s="182"/>
      <c r="M388" s="182"/>
    </row>
    <row r="389" spans="1:13" s="247" customFormat="1" x14ac:dyDescent="0.25">
      <c r="A389" s="415"/>
      <c r="B389" s="372"/>
      <c r="C389" s="372"/>
      <c r="D389" s="372"/>
      <c r="E389" s="372"/>
      <c r="F389" s="416"/>
      <c r="G389" s="495"/>
      <c r="H389" s="495"/>
      <c r="I389" s="495"/>
    </row>
    <row r="390" spans="1:13" s="247" customFormat="1" x14ac:dyDescent="0.25">
      <c r="A390" s="150"/>
      <c r="B390" s="150"/>
      <c r="C390" s="150"/>
      <c r="D390" s="150"/>
      <c r="E390" s="150"/>
      <c r="F390" s="150"/>
      <c r="G390" s="495"/>
      <c r="H390" s="495"/>
      <c r="I390" s="495"/>
    </row>
    <row r="392" spans="1:13" s="247" customFormat="1" ht="15.6" x14ac:dyDescent="0.3">
      <c r="A392" s="1051" t="s">
        <v>554</v>
      </c>
      <c r="B392" s="1052"/>
      <c r="C392" s="1052"/>
      <c r="D392" s="1052"/>
      <c r="E392" s="1052"/>
      <c r="F392" s="1053"/>
      <c r="G392" s="602"/>
      <c r="H392" s="602"/>
      <c r="I392" s="495"/>
      <c r="J392" s="182"/>
      <c r="K392" s="182"/>
      <c r="L392" s="182"/>
      <c r="M392" s="182"/>
    </row>
    <row r="393" spans="1:13" s="247" customFormat="1" ht="15.6" x14ac:dyDescent="0.3">
      <c r="A393" s="1054" t="str">
        <f>$A$2</f>
        <v xml:space="preserve">School Year 2020-2021 </v>
      </c>
      <c r="B393" s="1055"/>
      <c r="C393" s="1055"/>
      <c r="D393" s="1055"/>
      <c r="E393" s="1055"/>
      <c r="F393" s="1056"/>
      <c r="G393" s="602"/>
      <c r="H393" s="602"/>
      <c r="I393" s="495"/>
      <c r="J393" s="182"/>
      <c r="K393" s="182"/>
      <c r="L393" s="182"/>
      <c r="M393" s="182"/>
    </row>
    <row r="394" spans="1:13" s="247" customFormat="1" x14ac:dyDescent="0.25">
      <c r="A394" s="1037" t="s">
        <v>544</v>
      </c>
      <c r="B394" s="1038"/>
      <c r="C394" s="150"/>
      <c r="D394" s="150"/>
      <c r="E394" s="150"/>
      <c r="F394" s="406"/>
      <c r="G394" s="495"/>
      <c r="H394" s="495"/>
      <c r="I394" s="495"/>
      <c r="J394" s="182"/>
      <c r="K394" s="182"/>
      <c r="L394" s="182"/>
      <c r="M394" s="182"/>
    </row>
    <row r="395" spans="1:13" s="247" customFormat="1" ht="14.4" x14ac:dyDescent="0.3">
      <c r="A395" s="407"/>
      <c r="B395" s="353"/>
      <c r="C395" s="354" t="s">
        <v>514</v>
      </c>
      <c r="D395" s="355" t="s">
        <v>515</v>
      </c>
      <c r="E395" s="392"/>
      <c r="F395" s="587"/>
      <c r="G395" s="388"/>
      <c r="H395" s="388"/>
      <c r="I395" s="495"/>
      <c r="J395" s="182"/>
      <c r="K395" s="182"/>
      <c r="L395" s="182"/>
      <c r="M395" s="182"/>
    </row>
    <row r="396" spans="1:13" s="247" customFormat="1" ht="14.4" x14ac:dyDescent="0.3">
      <c r="A396" s="407"/>
      <c r="B396" s="353"/>
      <c r="C396" s="356" t="s">
        <v>516</v>
      </c>
      <c r="D396" s="357" t="s">
        <v>517</v>
      </c>
      <c r="E396" s="393"/>
      <c r="F396" s="588"/>
      <c r="G396" s="390"/>
      <c r="H396" s="390"/>
      <c r="I396" s="495"/>
      <c r="J396" s="182"/>
      <c r="K396" s="182"/>
      <c r="L396" s="182"/>
      <c r="M396" s="182"/>
    </row>
    <row r="397" spans="1:13" s="247" customFormat="1" x14ac:dyDescent="0.25">
      <c r="A397" s="134" t="s">
        <v>395</v>
      </c>
      <c r="B397" s="150"/>
      <c r="C397" s="432">
        <f>'TT entry &amp; transportation'!$K$133</f>
        <v>23.166650000000001</v>
      </c>
      <c r="D397" s="435">
        <f>C397*$B$405</f>
        <v>86327.53</v>
      </c>
      <c r="E397" s="150"/>
      <c r="F397" s="406"/>
      <c r="G397" s="495"/>
      <c r="H397" s="495"/>
      <c r="I397" s="495"/>
    </row>
    <row r="398" spans="1:13" s="247" customFormat="1" x14ac:dyDescent="0.25">
      <c r="A398" s="130" t="s">
        <v>28</v>
      </c>
      <c r="B398" s="150"/>
      <c r="C398" s="433">
        <f>'TT entry &amp; transportation'!$K$134</f>
        <v>7</v>
      </c>
      <c r="D398" s="436">
        <f t="shared" ref="D398:D403" si="6">C398*$B$405</f>
        <v>26084.6</v>
      </c>
      <c r="E398" s="130" t="s">
        <v>1</v>
      </c>
      <c r="F398" s="406"/>
      <c r="G398" s="495"/>
      <c r="H398" s="495"/>
      <c r="I398" s="495"/>
    </row>
    <row r="399" spans="1:13" s="487" customFormat="1" hidden="1" x14ac:dyDescent="0.25">
      <c r="A399" s="130" t="s">
        <v>138</v>
      </c>
      <c r="B399" s="150"/>
      <c r="C399" s="433">
        <f>'TT entry &amp; transportation'!K135</f>
        <v>0</v>
      </c>
      <c r="D399" s="436">
        <f>'TT entry &amp; transportation'!L135</f>
        <v>0</v>
      </c>
      <c r="E399" s="130"/>
      <c r="F399" s="406"/>
      <c r="G399" s="495"/>
      <c r="H399" s="495"/>
      <c r="I399" s="495"/>
    </row>
    <row r="400" spans="1:13" s="247" customFormat="1" hidden="1" x14ac:dyDescent="0.25">
      <c r="A400" s="130" t="s">
        <v>401</v>
      </c>
      <c r="B400" s="150"/>
      <c r="C400" s="433">
        <f>'TT entry &amp; transportation'!$K$136</f>
        <v>0</v>
      </c>
      <c r="D400" s="436">
        <f t="shared" si="6"/>
        <v>0</v>
      </c>
      <c r="E400" s="130" t="s">
        <v>1</v>
      </c>
      <c r="F400" s="406"/>
      <c r="G400" s="495"/>
      <c r="H400" s="495"/>
      <c r="I400" s="495"/>
    </row>
    <row r="401" spans="1:13" s="247" customFormat="1" x14ac:dyDescent="0.25">
      <c r="A401" s="130" t="s">
        <v>400</v>
      </c>
      <c r="B401" s="150"/>
      <c r="C401" s="433">
        <f>'TT entry &amp; transportation'!$K$137</f>
        <v>9.3333499999999994</v>
      </c>
      <c r="D401" s="436">
        <f t="shared" si="6"/>
        <v>34779.519999999997</v>
      </c>
      <c r="E401" s="150"/>
      <c r="F401" s="406"/>
      <c r="G401" s="495"/>
      <c r="H401" s="495"/>
      <c r="I401" s="495"/>
    </row>
    <row r="402" spans="1:13" s="247" customFormat="1" x14ac:dyDescent="0.25">
      <c r="A402" s="130" t="s">
        <v>399</v>
      </c>
      <c r="B402" s="150"/>
      <c r="C402" s="433">
        <f>'TT entry &amp; transportation'!$K$138</f>
        <v>8.4999500000000001</v>
      </c>
      <c r="D402" s="436">
        <f t="shared" si="6"/>
        <v>31673.97</v>
      </c>
      <c r="E402" s="130" t="s">
        <v>1</v>
      </c>
      <c r="F402" s="406"/>
      <c r="G402" s="495"/>
      <c r="H402" s="495"/>
      <c r="I402" s="495"/>
    </row>
    <row r="403" spans="1:13" s="247" customFormat="1" x14ac:dyDescent="0.25">
      <c r="A403" s="134" t="s">
        <v>397</v>
      </c>
      <c r="B403" s="150"/>
      <c r="C403" s="433">
        <f>'TT entry &amp; transportation'!$K$139</f>
        <v>3</v>
      </c>
      <c r="D403" s="437">
        <f t="shared" si="6"/>
        <v>11179.11</v>
      </c>
      <c r="E403" s="130"/>
      <c r="F403" s="406"/>
      <c r="G403" s="495"/>
      <c r="H403" s="495"/>
      <c r="I403" s="495"/>
    </row>
    <row r="404" spans="1:13" s="247" customFormat="1" ht="14.4" x14ac:dyDescent="0.3">
      <c r="A404" s="1045" t="s">
        <v>518</v>
      </c>
      <c r="B404" s="1046"/>
      <c r="C404" s="360">
        <f>SUM(C397:C403)</f>
        <v>50.999949999999998</v>
      </c>
      <c r="D404" s="361">
        <f>SUM(D397:D403)</f>
        <v>190044.73</v>
      </c>
      <c r="E404" s="424" t="s">
        <v>1</v>
      </c>
      <c r="F404" s="589"/>
      <c r="G404" s="424" t="s">
        <v>532</v>
      </c>
      <c r="H404" s="425"/>
      <c r="I404" s="425">
        <f>'TT entry &amp; transportation'!$M$140</f>
        <v>190044.73</v>
      </c>
      <c r="J404" s="133"/>
      <c r="K404" s="133"/>
      <c r="L404" s="133"/>
      <c r="M404" s="133"/>
    </row>
    <row r="405" spans="1:13" s="247" customFormat="1" ht="14.4" x14ac:dyDescent="0.3">
      <c r="A405" s="409" t="s">
        <v>596</v>
      </c>
      <c r="B405" s="448">
        <f>'TT entry &amp; transportation'!$B$266</f>
        <v>3726.3709260000001</v>
      </c>
      <c r="C405" s="150"/>
      <c r="D405" s="150"/>
      <c r="E405" s="427" t="s">
        <v>1</v>
      </c>
      <c r="F405" s="176"/>
      <c r="G405" s="427" t="s">
        <v>533</v>
      </c>
      <c r="H405" s="175"/>
      <c r="I405" s="430">
        <f>'Payment T&amp;T LAWSON'!$I$50</f>
        <v>190044.73</v>
      </c>
    </row>
    <row r="406" spans="1:13" s="247" customFormat="1" x14ac:dyDescent="0.25">
      <c r="A406" s="413"/>
      <c r="B406" s="150"/>
      <c r="C406" s="150"/>
      <c r="D406" s="150"/>
      <c r="E406" s="150"/>
      <c r="F406" s="406"/>
      <c r="G406" s="495"/>
      <c r="H406" s="495"/>
      <c r="I406" s="495"/>
    </row>
    <row r="407" spans="1:13" s="247" customFormat="1" hidden="1" x14ac:dyDescent="0.25">
      <c r="A407" s="1037" t="s">
        <v>543</v>
      </c>
      <c r="B407" s="1038"/>
      <c r="C407" s="150"/>
      <c r="D407" s="150"/>
      <c r="E407" s="150"/>
      <c r="F407" s="406"/>
      <c r="G407" s="495"/>
      <c r="H407" s="495"/>
      <c r="I407" s="495"/>
      <c r="J407" s="182"/>
      <c r="K407" s="182"/>
      <c r="L407" s="182"/>
      <c r="M407" s="182"/>
    </row>
    <row r="408" spans="1:13" s="247" customFormat="1" ht="14.4" hidden="1" x14ac:dyDescent="0.3">
      <c r="A408" s="407"/>
      <c r="B408" s="353"/>
      <c r="C408" s="1039" t="s">
        <v>515</v>
      </c>
      <c r="D408" s="1040"/>
      <c r="E408" s="392"/>
      <c r="F408" s="587"/>
      <c r="G408" s="392"/>
      <c r="H408" s="396"/>
      <c r="I408" s="388"/>
      <c r="J408" s="182"/>
      <c r="K408" s="182"/>
      <c r="L408" s="182"/>
      <c r="M408" s="182"/>
    </row>
    <row r="409" spans="1:13" s="247" customFormat="1" ht="14.4" hidden="1" x14ac:dyDescent="0.3">
      <c r="A409" s="407"/>
      <c r="B409" s="353"/>
      <c r="C409" s="1041" t="s">
        <v>517</v>
      </c>
      <c r="D409" s="1042"/>
      <c r="E409" s="393"/>
      <c r="F409" s="588"/>
      <c r="G409" s="393"/>
      <c r="H409" s="389"/>
      <c r="I409" s="390"/>
      <c r="J409" s="182"/>
      <c r="K409" s="182"/>
      <c r="L409" s="182"/>
      <c r="M409" s="182"/>
    </row>
    <row r="410" spans="1:13" s="247" customFormat="1" hidden="1" x14ac:dyDescent="0.25">
      <c r="A410" s="130" t="s">
        <v>401</v>
      </c>
      <c r="B410" s="150"/>
      <c r="C410" s="1043">
        <f>'TT entry &amp; transportation'!$M$251</f>
        <v>0</v>
      </c>
      <c r="D410" s="1044"/>
      <c r="E410" s="130" t="s">
        <v>1</v>
      </c>
      <c r="F410" s="406"/>
      <c r="G410" s="130" t="s">
        <v>1</v>
      </c>
      <c r="H410" s="495"/>
      <c r="I410" s="495"/>
    </row>
    <row r="411" spans="1:13" s="247" customFormat="1" ht="14.4" hidden="1" x14ac:dyDescent="0.3">
      <c r="A411" s="1045" t="s">
        <v>518</v>
      </c>
      <c r="B411" s="1046"/>
      <c r="C411" s="1047">
        <f>SUM(C410:C410)</f>
        <v>0</v>
      </c>
      <c r="D411" s="1048"/>
      <c r="E411" s="424" t="s">
        <v>1</v>
      </c>
      <c r="F411" s="589"/>
      <c r="G411" s="424" t="s">
        <v>532</v>
      </c>
      <c r="H411" s="425"/>
      <c r="I411" s="425">
        <f>'TT entry &amp; transportation'!$M$251</f>
        <v>0</v>
      </c>
      <c r="J411" s="133"/>
      <c r="K411" s="133"/>
      <c r="L411" s="133"/>
      <c r="M411" s="133"/>
    </row>
    <row r="412" spans="1:13" s="247" customFormat="1" ht="14.4" hidden="1" x14ac:dyDescent="0.3">
      <c r="A412" s="438" t="s">
        <v>1</v>
      </c>
      <c r="B412" s="449" t="s">
        <v>1</v>
      </c>
      <c r="C412" s="150"/>
      <c r="D412" s="150"/>
      <c r="E412" s="427" t="s">
        <v>1</v>
      </c>
      <c r="F412" s="176"/>
      <c r="G412" s="427" t="s">
        <v>533</v>
      </c>
      <c r="H412" s="175"/>
      <c r="I412" s="430">
        <f>'Payment T&amp;T LAWSON'!$L$50</f>
        <v>0</v>
      </c>
    </row>
    <row r="413" spans="1:13" s="247" customFormat="1" ht="14.4" x14ac:dyDescent="0.3">
      <c r="A413" s="1049" t="s">
        <v>523</v>
      </c>
      <c r="B413" s="1050"/>
      <c r="C413" s="431">
        <f>'CTE TRANS'!$AL$51</f>
        <v>2907.5</v>
      </c>
      <c r="D413" s="150"/>
      <c r="E413" s="427" t="s">
        <v>1</v>
      </c>
      <c r="F413" s="597"/>
      <c r="G413" s="427" t="s">
        <v>533</v>
      </c>
      <c r="H413" s="427"/>
      <c r="I413" s="430">
        <f>'Payment T&amp;T LAWSON'!$K$50</f>
        <v>2907.5</v>
      </c>
      <c r="J413" s="182"/>
      <c r="K413" s="182"/>
      <c r="L413" s="182"/>
      <c r="M413" s="182"/>
    </row>
    <row r="414" spans="1:13" s="247" customFormat="1" x14ac:dyDescent="0.25">
      <c r="A414" s="413"/>
      <c r="B414" s="150"/>
      <c r="C414" s="150"/>
      <c r="D414" s="150"/>
      <c r="E414" s="150"/>
      <c r="F414" s="406"/>
      <c r="G414" s="495"/>
      <c r="H414" s="495"/>
      <c r="I414" s="495"/>
      <c r="J414" s="182"/>
      <c r="K414" s="182"/>
      <c r="L414" s="182"/>
      <c r="M414" s="182"/>
    </row>
    <row r="415" spans="1:13" s="247" customFormat="1" ht="14.4" x14ac:dyDescent="0.3">
      <c r="A415" s="1049" t="s">
        <v>524</v>
      </c>
      <c r="B415" s="1050"/>
      <c r="C415" s="371" t="s">
        <v>1</v>
      </c>
      <c r="D415" s="372" t="s">
        <v>1</v>
      </c>
      <c r="E415" s="150"/>
      <c r="F415" s="406"/>
      <c r="G415" s="495"/>
      <c r="H415" s="495"/>
      <c r="I415" s="495"/>
      <c r="J415" s="182"/>
      <c r="K415" s="182"/>
      <c r="L415" s="182"/>
      <c r="M415" s="182"/>
    </row>
    <row r="416" spans="1:13" s="247" customFormat="1" x14ac:dyDescent="0.25">
      <c r="A416" s="413"/>
      <c r="B416" s="150"/>
      <c r="C416" s="373">
        <f>D404</f>
        <v>190044.73</v>
      </c>
      <c r="D416" s="441" t="s">
        <v>548</v>
      </c>
      <c r="E416" s="150"/>
      <c r="F416" s="406"/>
      <c r="G416" s="495"/>
      <c r="H416" s="495"/>
      <c r="I416" s="495"/>
      <c r="J416" s="182"/>
      <c r="K416" s="182"/>
      <c r="L416" s="182"/>
      <c r="M416" s="182"/>
    </row>
    <row r="417" spans="1:13" s="247" customFormat="1" x14ac:dyDescent="0.25">
      <c r="A417" s="413"/>
      <c r="B417" s="150"/>
      <c r="C417" s="386">
        <f>C411</f>
        <v>0</v>
      </c>
      <c r="D417" s="442" t="s">
        <v>549</v>
      </c>
      <c r="E417" s="150"/>
      <c r="F417" s="406"/>
      <c r="G417" s="495"/>
      <c r="H417" s="495"/>
      <c r="I417" s="495"/>
      <c r="J417" s="182"/>
      <c r="K417" s="182"/>
      <c r="L417" s="182"/>
      <c r="M417" s="182"/>
    </row>
    <row r="418" spans="1:13" s="247" customFormat="1" ht="14.4" x14ac:dyDescent="0.3">
      <c r="A418" s="414" t="s">
        <v>1</v>
      </c>
      <c r="B418" s="375"/>
      <c r="C418" s="386">
        <f>C413</f>
        <v>2907.5</v>
      </c>
      <c r="D418" s="377" t="s">
        <v>526</v>
      </c>
      <c r="E418" s="150"/>
      <c r="F418" s="406"/>
      <c r="G418" s="495"/>
      <c r="H418" s="495"/>
      <c r="I418" s="495"/>
      <c r="J418" s="182"/>
      <c r="K418" s="182"/>
      <c r="L418" s="182"/>
      <c r="M418" s="182"/>
    </row>
    <row r="419" spans="1:13" s="247" customFormat="1" ht="14.4" x14ac:dyDescent="0.3">
      <c r="A419" s="1045" t="s">
        <v>527</v>
      </c>
      <c r="B419" s="1046"/>
      <c r="C419" s="1047">
        <f>SUM(C416:C418)</f>
        <v>192952.23</v>
      </c>
      <c r="D419" s="1048"/>
      <c r="E419" s="427" t="s">
        <v>1</v>
      </c>
      <c r="F419" s="366"/>
      <c r="G419" s="427" t="s">
        <v>533</v>
      </c>
      <c r="H419" s="495"/>
      <c r="I419" s="425">
        <f>'Payment T&amp;T LAWSON'!$N$50</f>
        <v>192952.23</v>
      </c>
      <c r="J419" s="182"/>
      <c r="K419" s="182"/>
      <c r="L419" s="182"/>
      <c r="M419" s="182"/>
    </row>
    <row r="420" spans="1:13" s="247" customFormat="1" x14ac:dyDescent="0.25">
      <c r="A420" s="415"/>
      <c r="B420" s="372"/>
      <c r="C420" s="372"/>
      <c r="D420" s="372"/>
      <c r="E420" s="372"/>
      <c r="F420" s="416"/>
      <c r="G420" s="495"/>
      <c r="H420" s="495"/>
      <c r="I420" s="495"/>
    </row>
    <row r="421" spans="1:13" s="247" customFormat="1" x14ac:dyDescent="0.25">
      <c r="A421" s="150"/>
      <c r="B421" s="150"/>
      <c r="C421" s="150"/>
      <c r="D421" s="150"/>
      <c r="E421" s="150"/>
      <c r="F421" s="150"/>
      <c r="G421" s="495"/>
      <c r="H421" s="495"/>
      <c r="I421" s="495"/>
    </row>
    <row r="423" spans="1:13" s="247" customFormat="1" ht="15.6" x14ac:dyDescent="0.3">
      <c r="A423" s="1051" t="s">
        <v>556</v>
      </c>
      <c r="B423" s="1052"/>
      <c r="C423" s="1052"/>
      <c r="D423" s="1052"/>
      <c r="E423" s="1052"/>
      <c r="F423" s="1053"/>
      <c r="G423" s="602"/>
      <c r="H423" s="602"/>
      <c r="I423" s="495"/>
      <c r="J423" s="182"/>
      <c r="K423" s="182"/>
      <c r="L423" s="182"/>
      <c r="M423" s="182"/>
    </row>
    <row r="424" spans="1:13" s="247" customFormat="1" ht="15.6" x14ac:dyDescent="0.3">
      <c r="A424" s="1054" t="str">
        <f>$A$2</f>
        <v xml:space="preserve">School Year 2020-2021 </v>
      </c>
      <c r="B424" s="1055"/>
      <c r="C424" s="1055"/>
      <c r="D424" s="1055"/>
      <c r="E424" s="1055"/>
      <c r="F424" s="1056"/>
      <c r="G424" s="602"/>
      <c r="H424" s="602"/>
      <c r="I424" s="495"/>
      <c r="J424" s="182"/>
      <c r="K424" s="182"/>
      <c r="L424" s="182"/>
      <c r="M424" s="182"/>
    </row>
    <row r="425" spans="1:13" s="247" customFormat="1" x14ac:dyDescent="0.25">
      <c r="A425" s="1037" t="s">
        <v>513</v>
      </c>
      <c r="B425" s="1038"/>
      <c r="C425" s="150"/>
      <c r="D425" s="150"/>
      <c r="E425" s="150"/>
      <c r="F425" s="406"/>
      <c r="G425" s="495"/>
      <c r="H425" s="495"/>
      <c r="I425" s="495"/>
      <c r="J425" s="182"/>
      <c r="K425" s="182"/>
      <c r="L425" s="182"/>
      <c r="M425" s="182"/>
    </row>
    <row r="426" spans="1:13" s="247" customFormat="1" ht="14.4" x14ac:dyDescent="0.3">
      <c r="A426" s="407"/>
      <c r="B426" s="353"/>
      <c r="C426" s="354" t="s">
        <v>514</v>
      </c>
      <c r="D426" s="355" t="s">
        <v>515</v>
      </c>
      <c r="E426" s="392"/>
      <c r="F426" s="587"/>
      <c r="G426" s="388"/>
      <c r="H426" s="388"/>
      <c r="I426" s="495"/>
      <c r="J426" s="182"/>
      <c r="K426" s="182"/>
      <c r="L426" s="182"/>
      <c r="M426" s="182"/>
    </row>
    <row r="427" spans="1:13" s="247" customFormat="1" ht="14.4" x14ac:dyDescent="0.3">
      <c r="A427" s="407"/>
      <c r="B427" s="353"/>
      <c r="C427" s="356" t="s">
        <v>516</v>
      </c>
      <c r="D427" s="357" t="s">
        <v>517</v>
      </c>
      <c r="E427" s="393"/>
      <c r="F427" s="588"/>
      <c r="G427" s="390"/>
      <c r="H427" s="390"/>
      <c r="I427" s="495"/>
      <c r="J427" s="182"/>
      <c r="K427" s="182"/>
      <c r="L427" s="182"/>
      <c r="M427" s="182"/>
    </row>
    <row r="428" spans="1:13" s="247" customFormat="1" x14ac:dyDescent="0.25">
      <c r="A428" s="130" t="s">
        <v>6</v>
      </c>
      <c r="B428" s="150"/>
      <c r="C428" s="432">
        <f>'TT entry &amp; transportation'!$K$141</f>
        <v>11</v>
      </c>
      <c r="D428" s="435">
        <f>C428*$B$433</f>
        <v>40990.080000000002</v>
      </c>
      <c r="E428" s="130" t="s">
        <v>1</v>
      </c>
      <c r="F428" s="406"/>
      <c r="G428" s="722" t="s">
        <v>1</v>
      </c>
      <c r="H428" s="495"/>
      <c r="I428" s="495"/>
    </row>
    <row r="429" spans="1:13" s="864" customFormat="1" x14ac:dyDescent="0.25">
      <c r="A429" s="130" t="s">
        <v>872</v>
      </c>
      <c r="B429" s="150"/>
      <c r="C429" s="433">
        <f>'TT entry &amp; transportation'!K143</f>
        <v>1</v>
      </c>
      <c r="D429" s="436">
        <f>C429*$B$433</f>
        <v>3726.37</v>
      </c>
      <c r="E429" s="130"/>
      <c r="F429" s="406"/>
      <c r="G429" s="783"/>
      <c r="H429" s="783"/>
      <c r="I429" s="783"/>
    </row>
    <row r="430" spans="1:13" s="247" customFormat="1" hidden="1" x14ac:dyDescent="0.25">
      <c r="A430" s="134" t="s">
        <v>153</v>
      </c>
      <c r="B430" s="150"/>
      <c r="C430" s="433">
        <f>'TT entry &amp; transportation'!K145</f>
        <v>0</v>
      </c>
      <c r="D430" s="436">
        <f>C430*$B$433</f>
        <v>0</v>
      </c>
      <c r="E430" s="130" t="s">
        <v>1</v>
      </c>
      <c r="F430" s="406"/>
      <c r="G430" s="495"/>
      <c r="H430" s="495"/>
      <c r="I430" s="495"/>
    </row>
    <row r="431" spans="1:13" s="247" customFormat="1" x14ac:dyDescent="0.25">
      <c r="A431" s="134" t="s">
        <v>405</v>
      </c>
      <c r="B431" s="150"/>
      <c r="C431" s="433">
        <f>'TT entry &amp; transportation'!$K$146</f>
        <v>6.5</v>
      </c>
      <c r="D431" s="437">
        <f>C431*$B$433</f>
        <v>24221.41</v>
      </c>
      <c r="E431" s="130" t="s">
        <v>1</v>
      </c>
      <c r="F431" s="406"/>
      <c r="G431" s="495"/>
      <c r="H431" s="495"/>
      <c r="I431" s="495"/>
    </row>
    <row r="432" spans="1:13" s="247" customFormat="1" ht="14.4" x14ac:dyDescent="0.3">
      <c r="A432" s="1045" t="s">
        <v>518</v>
      </c>
      <c r="B432" s="1046"/>
      <c r="C432" s="360">
        <f>SUM(C428:C431)</f>
        <v>18.5</v>
      </c>
      <c r="D432" s="361">
        <f>SUM(D428:D431)</f>
        <v>68937.86</v>
      </c>
      <c r="E432" s="424" t="s">
        <v>1</v>
      </c>
      <c r="F432" s="589" t="s">
        <v>1</v>
      </c>
      <c r="G432" s="424" t="s">
        <v>532</v>
      </c>
      <c r="H432" s="425"/>
      <c r="I432" s="425">
        <f>'TT entry &amp; transportation'!$M$147</f>
        <v>68937.86</v>
      </c>
      <c r="J432" s="133"/>
      <c r="K432" s="133"/>
      <c r="L432" s="133"/>
      <c r="M432" s="133"/>
    </row>
    <row r="433" spans="1:13" s="247" customFormat="1" ht="14.4" x14ac:dyDescent="0.3">
      <c r="A433" s="409" t="s">
        <v>596</v>
      </c>
      <c r="B433" s="448">
        <f>'TT entry &amp; transportation'!$B$266</f>
        <v>3726.3709260000001</v>
      </c>
      <c r="C433" s="150"/>
      <c r="D433" s="150"/>
      <c r="E433" s="427" t="s">
        <v>1</v>
      </c>
      <c r="F433" s="176"/>
      <c r="G433" s="427" t="s">
        <v>533</v>
      </c>
      <c r="H433" s="175"/>
      <c r="I433" s="430">
        <f>'Payment T&amp;T LAWSON'!$I$53</f>
        <v>68937.86</v>
      </c>
    </row>
    <row r="434" spans="1:13" s="247" customFormat="1" x14ac:dyDescent="0.25">
      <c r="A434" s="413"/>
      <c r="B434" s="150"/>
      <c r="C434" s="150"/>
      <c r="D434" s="150"/>
      <c r="E434" s="150"/>
      <c r="F434" s="406"/>
      <c r="G434" s="495"/>
      <c r="H434" s="495"/>
      <c r="I434" s="495"/>
    </row>
    <row r="435" spans="1:13" s="247" customFormat="1" ht="14.4" x14ac:dyDescent="0.3">
      <c r="A435" s="1049" t="s">
        <v>523</v>
      </c>
      <c r="B435" s="1050"/>
      <c r="C435" s="431">
        <f>'CTE TRANS'!$AL$55</f>
        <v>1195</v>
      </c>
      <c r="D435" s="150"/>
      <c r="E435" s="427" t="s">
        <v>1</v>
      </c>
      <c r="F435" s="597"/>
      <c r="G435" s="427" t="s">
        <v>533</v>
      </c>
      <c r="H435" s="427"/>
      <c r="I435" s="430">
        <f>'Payment T&amp;T LAWSON'!$K$53</f>
        <v>1195</v>
      </c>
      <c r="J435" s="182"/>
      <c r="K435" s="182"/>
      <c r="L435" s="182"/>
      <c r="M435" s="182"/>
    </row>
    <row r="436" spans="1:13" s="247" customFormat="1" x14ac:dyDescent="0.25">
      <c r="A436" s="413"/>
      <c r="B436" s="150"/>
      <c r="C436" s="150"/>
      <c r="D436" s="150"/>
      <c r="E436" s="150"/>
      <c r="F436" s="406"/>
      <c r="G436" s="495"/>
      <c r="H436" s="495"/>
      <c r="I436" s="495"/>
      <c r="J436" s="182"/>
      <c r="K436" s="182"/>
      <c r="L436" s="182"/>
      <c r="M436" s="182"/>
    </row>
    <row r="437" spans="1:13" s="247" customFormat="1" ht="14.4" x14ac:dyDescent="0.3">
      <c r="A437" s="1049" t="s">
        <v>524</v>
      </c>
      <c r="B437" s="1050"/>
      <c r="C437" s="371" t="s">
        <v>1</v>
      </c>
      <c r="D437" s="372" t="s">
        <v>1</v>
      </c>
      <c r="E437" s="150"/>
      <c r="F437" s="406"/>
      <c r="G437" s="495"/>
      <c r="H437" s="495"/>
      <c r="I437" s="495"/>
      <c r="J437" s="182"/>
      <c r="K437" s="182"/>
      <c r="L437" s="182"/>
      <c r="M437" s="182"/>
    </row>
    <row r="438" spans="1:13" s="247" customFormat="1" x14ac:dyDescent="0.25">
      <c r="A438" s="413"/>
      <c r="B438" s="150"/>
      <c r="C438" s="373">
        <f>D432</f>
        <v>68937.86</v>
      </c>
      <c r="D438" s="374" t="s">
        <v>167</v>
      </c>
      <c r="E438" s="150"/>
      <c r="F438" s="406"/>
      <c r="G438" s="495"/>
      <c r="H438" s="495"/>
      <c r="I438" s="495"/>
      <c r="J438" s="182"/>
      <c r="K438" s="182"/>
      <c r="L438" s="182"/>
      <c r="M438" s="182"/>
    </row>
    <row r="439" spans="1:13" s="247" customFormat="1" ht="14.4" x14ac:dyDescent="0.3">
      <c r="A439" s="414" t="s">
        <v>1</v>
      </c>
      <c r="B439" s="375"/>
      <c r="C439" s="386">
        <f>C435</f>
        <v>1195</v>
      </c>
      <c r="D439" s="377" t="s">
        <v>526</v>
      </c>
      <c r="E439" s="150"/>
      <c r="F439" s="406"/>
      <c r="G439" s="495"/>
      <c r="H439" s="495"/>
      <c r="I439" s="495"/>
      <c r="J439" s="182"/>
      <c r="K439" s="182"/>
      <c r="L439" s="182"/>
      <c r="M439" s="182"/>
    </row>
    <row r="440" spans="1:13" s="247" customFormat="1" ht="14.4" x14ac:dyDescent="0.3">
      <c r="A440" s="1045" t="s">
        <v>527</v>
      </c>
      <c r="B440" s="1046"/>
      <c r="C440" s="1047">
        <f>SUM(C438:C439)</f>
        <v>70132.86</v>
      </c>
      <c r="D440" s="1048"/>
      <c r="E440" s="427" t="s">
        <v>1</v>
      </c>
      <c r="F440" s="366"/>
      <c r="G440" s="427" t="s">
        <v>533</v>
      </c>
      <c r="H440" s="495"/>
      <c r="I440" s="425">
        <f>'Payment T&amp;T LAWSON'!$N$53</f>
        <v>70132.86</v>
      </c>
      <c r="J440" s="182"/>
      <c r="K440" s="182"/>
      <c r="L440" s="182"/>
      <c r="M440" s="182"/>
    </row>
    <row r="441" spans="1:13" s="247" customFormat="1" x14ac:dyDescent="0.25">
      <c r="A441" s="415"/>
      <c r="B441" s="372"/>
      <c r="C441" s="372"/>
      <c r="D441" s="372"/>
      <c r="E441" s="372"/>
      <c r="F441" s="416"/>
      <c r="G441" s="495"/>
      <c r="H441" s="495"/>
      <c r="I441" s="495"/>
    </row>
    <row r="442" spans="1:13" s="247" customFormat="1" x14ac:dyDescent="0.25">
      <c r="A442" s="150"/>
      <c r="B442" s="150"/>
      <c r="C442" s="150"/>
      <c r="D442" s="150"/>
      <c r="E442" s="150"/>
      <c r="F442" s="150"/>
      <c r="G442" s="495"/>
      <c r="H442" s="495"/>
      <c r="I442" s="495"/>
    </row>
    <row r="444" spans="1:13" s="247" customFormat="1" ht="15.6" x14ac:dyDescent="0.3">
      <c r="A444" s="1051" t="s">
        <v>557</v>
      </c>
      <c r="B444" s="1052"/>
      <c r="C444" s="1052"/>
      <c r="D444" s="1052"/>
      <c r="E444" s="1052"/>
      <c r="F444" s="1053"/>
      <c r="G444" s="602"/>
      <c r="H444" s="602"/>
      <c r="I444" s="495"/>
      <c r="J444" s="182"/>
      <c r="K444" s="182"/>
      <c r="L444" s="182"/>
      <c r="M444" s="182"/>
    </row>
    <row r="445" spans="1:13" s="247" customFormat="1" ht="15.6" x14ac:dyDescent="0.3">
      <c r="A445" s="1054" t="str">
        <f>$A$2</f>
        <v xml:space="preserve">School Year 2020-2021 </v>
      </c>
      <c r="B445" s="1055"/>
      <c r="C445" s="1055"/>
      <c r="D445" s="1055"/>
      <c r="E445" s="1055"/>
      <c r="F445" s="1056"/>
      <c r="G445" s="602"/>
      <c r="H445" s="602"/>
      <c r="I445" s="495"/>
      <c r="J445" s="182"/>
      <c r="K445" s="182"/>
      <c r="L445" s="182"/>
      <c r="M445" s="182"/>
    </row>
    <row r="446" spans="1:13" s="247" customFormat="1" x14ac:dyDescent="0.25">
      <c r="A446" s="1037" t="s">
        <v>544</v>
      </c>
      <c r="B446" s="1038"/>
      <c r="C446" s="150"/>
      <c r="D446" s="150"/>
      <c r="E446" s="150"/>
      <c r="F446" s="406"/>
      <c r="G446" s="495"/>
      <c r="H446" s="495"/>
      <c r="I446" s="495"/>
      <c r="J446" s="182"/>
      <c r="K446" s="182"/>
      <c r="L446" s="182"/>
      <c r="M446" s="182"/>
    </row>
    <row r="447" spans="1:13" s="247" customFormat="1" ht="14.4" x14ac:dyDescent="0.3">
      <c r="A447" s="407"/>
      <c r="B447" s="353"/>
      <c r="C447" s="354" t="s">
        <v>514</v>
      </c>
      <c r="D447" s="355" t="s">
        <v>515</v>
      </c>
      <c r="E447" s="392"/>
      <c r="F447" s="587"/>
      <c r="G447" s="388"/>
      <c r="H447" s="388"/>
      <c r="I447" s="495"/>
      <c r="J447" s="182"/>
      <c r="K447" s="182"/>
      <c r="L447" s="182"/>
      <c r="M447" s="182"/>
    </row>
    <row r="448" spans="1:13" s="247" customFormat="1" ht="14.4" x14ac:dyDescent="0.3">
      <c r="A448" s="407"/>
      <c r="B448" s="353"/>
      <c r="C448" s="356" t="s">
        <v>516</v>
      </c>
      <c r="D448" s="357" t="s">
        <v>517</v>
      </c>
      <c r="E448" s="393"/>
      <c r="F448" s="588"/>
      <c r="G448" s="390"/>
      <c r="H448" s="390"/>
      <c r="I448" s="495"/>
      <c r="J448" s="182"/>
      <c r="K448" s="182"/>
      <c r="L448" s="182"/>
      <c r="M448" s="182"/>
    </row>
    <row r="449" spans="1:13" s="487" customFormat="1" ht="14.4" hidden="1" x14ac:dyDescent="0.3">
      <c r="A449" s="134" t="s">
        <v>605</v>
      </c>
      <c r="B449" s="353"/>
      <c r="C449" s="609">
        <f>'TT entry &amp; transportation'!K149</f>
        <v>0</v>
      </c>
      <c r="D449" s="610">
        <f>'TT entry &amp; transportation'!L149</f>
        <v>0</v>
      </c>
      <c r="E449" s="389"/>
      <c r="F449" s="588"/>
      <c r="G449" s="390"/>
      <c r="H449" s="390"/>
      <c r="I449" s="495"/>
      <c r="J449" s="182"/>
      <c r="K449" s="182"/>
      <c r="L449" s="182"/>
      <c r="M449" s="182"/>
    </row>
    <row r="450" spans="1:13" s="487" customFormat="1" ht="14.4" hidden="1" x14ac:dyDescent="0.3">
      <c r="A450" s="134" t="s">
        <v>604</v>
      </c>
      <c r="B450" s="353"/>
      <c r="C450" s="608">
        <f>'TT entry &amp; transportation'!K150</f>
        <v>0</v>
      </c>
      <c r="D450" s="607">
        <f>'TT entry &amp; transportation'!L150</f>
        <v>0</v>
      </c>
      <c r="E450" s="389"/>
      <c r="F450" s="588"/>
      <c r="G450" s="390"/>
      <c r="H450" s="390"/>
      <c r="I450" s="495"/>
      <c r="J450" s="182"/>
      <c r="K450" s="182"/>
      <c r="L450" s="182"/>
      <c r="M450" s="182"/>
    </row>
    <row r="451" spans="1:13" s="487" customFormat="1" ht="14.4" x14ac:dyDescent="0.3">
      <c r="A451" s="130" t="s">
        <v>452</v>
      </c>
      <c r="B451" s="353"/>
      <c r="C451" s="608">
        <f>'TT entry &amp; transportation'!K151</f>
        <v>1</v>
      </c>
      <c r="D451" s="607">
        <f>'TT entry &amp; transportation'!L151</f>
        <v>3726.37</v>
      </c>
      <c r="E451" s="389"/>
      <c r="F451" s="588"/>
      <c r="G451" s="390"/>
      <c r="H451" s="390"/>
      <c r="I451" s="495"/>
      <c r="J451" s="182"/>
      <c r="K451" s="182"/>
      <c r="L451" s="182"/>
      <c r="M451" s="182"/>
    </row>
    <row r="452" spans="1:13" s="864" customFormat="1" ht="14.4" x14ac:dyDescent="0.3">
      <c r="A452" s="130" t="s">
        <v>602</v>
      </c>
      <c r="B452" s="353"/>
      <c r="C452" s="433">
        <f>'TT entry &amp; transportation'!K152</f>
        <v>1</v>
      </c>
      <c r="D452" s="436">
        <f>C452*$B$460</f>
        <v>3726.37</v>
      </c>
      <c r="E452" s="389"/>
      <c r="F452" s="588"/>
      <c r="G452" s="390"/>
      <c r="H452" s="390"/>
      <c r="I452" s="783"/>
      <c r="J452" s="784"/>
      <c r="K452" s="784"/>
      <c r="L452" s="784"/>
      <c r="M452" s="784"/>
    </row>
    <row r="453" spans="1:13" s="247" customFormat="1" x14ac:dyDescent="0.25">
      <c r="A453" s="134" t="s">
        <v>401</v>
      </c>
      <c r="B453" s="150"/>
      <c r="C453" s="433">
        <f>'TT entry &amp; transportation'!$K$148</f>
        <v>7.3333500000000003</v>
      </c>
      <c r="D453" s="436">
        <f>C453*$B$460</f>
        <v>27326.78</v>
      </c>
      <c r="E453" s="150"/>
      <c r="F453" s="406"/>
      <c r="G453" s="495"/>
      <c r="H453" s="495"/>
      <c r="I453" s="495"/>
    </row>
    <row r="454" spans="1:13" s="247" customFormat="1" x14ac:dyDescent="0.25">
      <c r="A454" s="134" t="s">
        <v>406</v>
      </c>
      <c r="B454" s="150"/>
      <c r="C454" s="433">
        <f>'TT entry &amp; transportation'!$K$153</f>
        <v>43.666699999999999</v>
      </c>
      <c r="D454" s="436">
        <f>C454*$B$460</f>
        <v>162718.32</v>
      </c>
      <c r="E454" s="130" t="s">
        <v>1</v>
      </c>
      <c r="F454" s="406"/>
      <c r="G454" s="495"/>
      <c r="H454" s="495"/>
      <c r="I454" s="495"/>
    </row>
    <row r="455" spans="1:13" s="247" customFormat="1" x14ac:dyDescent="0.25">
      <c r="A455" s="130" t="s">
        <v>14</v>
      </c>
      <c r="B455" s="150"/>
      <c r="C455" s="433">
        <f>'TT entry &amp; transportation'!$K$154</f>
        <v>7</v>
      </c>
      <c r="D455" s="436">
        <f>C455*$B$460</f>
        <v>26084.6</v>
      </c>
      <c r="E455" s="130" t="s">
        <v>1</v>
      </c>
      <c r="F455" s="406"/>
      <c r="G455" s="495"/>
      <c r="H455" s="495"/>
      <c r="I455" s="495"/>
    </row>
    <row r="456" spans="1:13" s="487" customFormat="1" hidden="1" x14ac:dyDescent="0.25">
      <c r="A456" s="130" t="s">
        <v>356</v>
      </c>
      <c r="B456" s="150"/>
      <c r="C456" s="433">
        <f>'TT entry &amp; transportation'!K155</f>
        <v>0</v>
      </c>
      <c r="D456" s="436">
        <f>'TT entry &amp; transportation'!L155</f>
        <v>0</v>
      </c>
      <c r="E456" s="722"/>
      <c r="F456" s="406"/>
      <c r="G456" s="495"/>
      <c r="H456" s="495"/>
      <c r="I456" s="495"/>
    </row>
    <row r="457" spans="1:13" s="247" customFormat="1" x14ac:dyDescent="0.25">
      <c r="A457" s="134" t="s">
        <v>408</v>
      </c>
      <c r="B457" s="150"/>
      <c r="C457" s="433">
        <f>'TT entry &amp; transportation'!$K$156</f>
        <v>18.5</v>
      </c>
      <c r="D457" s="436">
        <f>C457*$B$460</f>
        <v>68937.86</v>
      </c>
      <c r="E457" s="150"/>
      <c r="F457" s="406"/>
      <c r="G457" s="493" t="s">
        <v>1</v>
      </c>
      <c r="H457" s="495"/>
      <c r="I457" s="495"/>
    </row>
    <row r="458" spans="1:13" s="247" customFormat="1" x14ac:dyDescent="0.25">
      <c r="A458" s="134" t="s">
        <v>409</v>
      </c>
      <c r="B458" s="150"/>
      <c r="C458" s="433">
        <f>'TT entry &amp; transportation'!$K$157</f>
        <v>11.166650000000001</v>
      </c>
      <c r="D458" s="437">
        <f>C458*$B$460</f>
        <v>41611.08</v>
      </c>
      <c r="E458" s="130" t="s">
        <v>1</v>
      </c>
      <c r="F458" s="406"/>
      <c r="G458" s="722" t="s">
        <v>1</v>
      </c>
      <c r="H458" s="495"/>
      <c r="I458" s="495"/>
    </row>
    <row r="459" spans="1:13" s="247" customFormat="1" ht="14.4" x14ac:dyDescent="0.3">
      <c r="A459" s="1045" t="s">
        <v>518</v>
      </c>
      <c r="B459" s="1046"/>
      <c r="C459" s="360">
        <f>SUM(C449:C458)</f>
        <v>89.666700000000006</v>
      </c>
      <c r="D459" s="361">
        <f>SUM(D449:D458)</f>
        <v>334131.38</v>
      </c>
      <c r="E459" s="424" t="s">
        <v>1</v>
      </c>
      <c r="F459" s="589"/>
      <c r="G459" s="424" t="s">
        <v>532</v>
      </c>
      <c r="H459" s="425"/>
      <c r="I459" s="425">
        <f>'TT entry &amp; transportation'!$M$158</f>
        <v>334131.38</v>
      </c>
      <c r="J459" s="133"/>
      <c r="K459" s="133"/>
      <c r="L459" s="133"/>
      <c r="M459" s="133"/>
    </row>
    <row r="460" spans="1:13" s="247" customFormat="1" ht="14.4" x14ac:dyDescent="0.3">
      <c r="A460" s="409" t="s">
        <v>596</v>
      </c>
      <c r="B460" s="448">
        <f>'TT entry &amp; transportation'!$B$266</f>
        <v>3726.3709260000001</v>
      </c>
      <c r="C460" s="150"/>
      <c r="D460" s="150"/>
      <c r="E460" s="427" t="s">
        <v>1</v>
      </c>
      <c r="F460" s="176"/>
      <c r="G460" s="427" t="s">
        <v>533</v>
      </c>
      <c r="H460" s="175"/>
      <c r="I460" s="430">
        <f>'Payment T&amp;T LAWSON'!$I$61</f>
        <v>334131.38</v>
      </c>
    </row>
    <row r="461" spans="1:13" s="247" customFormat="1" x14ac:dyDescent="0.25">
      <c r="A461" s="413"/>
      <c r="B461" s="150"/>
      <c r="C461" s="150"/>
      <c r="D461" s="150"/>
      <c r="E461" s="150"/>
      <c r="F461" s="406"/>
      <c r="G461" s="495"/>
      <c r="H461" s="495"/>
      <c r="I461" s="495"/>
    </row>
    <row r="462" spans="1:13" s="247" customFormat="1" x14ac:dyDescent="0.25">
      <c r="A462" s="1037" t="s">
        <v>543</v>
      </c>
      <c r="B462" s="1038"/>
      <c r="C462" s="150"/>
      <c r="D462" s="150"/>
      <c r="E462" s="150"/>
      <c r="F462" s="406"/>
      <c r="G462" s="495"/>
      <c r="H462" s="495"/>
      <c r="I462" s="495"/>
      <c r="J462" s="182"/>
      <c r="K462" s="182"/>
      <c r="L462" s="182"/>
      <c r="M462" s="182"/>
    </row>
    <row r="463" spans="1:13" s="247" customFormat="1" ht="14.4" x14ac:dyDescent="0.3">
      <c r="A463" s="407"/>
      <c r="B463" s="353"/>
      <c r="C463" s="1039" t="s">
        <v>515</v>
      </c>
      <c r="D463" s="1040"/>
      <c r="E463" s="392"/>
      <c r="F463" s="587"/>
      <c r="G463" s="392"/>
      <c r="H463" s="396"/>
      <c r="I463" s="388"/>
      <c r="J463" s="182"/>
      <c r="K463" s="182"/>
      <c r="L463" s="182"/>
      <c r="M463" s="182"/>
    </row>
    <row r="464" spans="1:13" s="247" customFormat="1" ht="14.4" x14ac:dyDescent="0.3">
      <c r="A464" s="407"/>
      <c r="B464" s="353"/>
      <c r="C464" s="1041" t="s">
        <v>517</v>
      </c>
      <c r="D464" s="1042"/>
      <c r="E464" s="393"/>
      <c r="F464" s="588"/>
      <c r="G464" s="393"/>
      <c r="H464" s="389"/>
      <c r="I464" s="390"/>
      <c r="J464" s="182"/>
      <c r="K464" s="182"/>
      <c r="L464" s="182"/>
      <c r="M464" s="182"/>
    </row>
    <row r="465" spans="1:13" s="247" customFormat="1" x14ac:dyDescent="0.25">
      <c r="A465" s="130" t="s">
        <v>401</v>
      </c>
      <c r="B465" s="150"/>
      <c r="C465" s="1043">
        <f>'TT entry &amp; transportation'!$M$249</f>
        <v>6292.5</v>
      </c>
      <c r="D465" s="1044"/>
      <c r="E465" s="130" t="s">
        <v>1</v>
      </c>
      <c r="F465" s="406"/>
      <c r="G465" s="130" t="s">
        <v>1</v>
      </c>
      <c r="H465" s="495"/>
      <c r="I465" s="495"/>
    </row>
    <row r="466" spans="1:13" s="247" customFormat="1" ht="14.4" x14ac:dyDescent="0.3">
      <c r="A466" s="1045" t="s">
        <v>518</v>
      </c>
      <c r="B466" s="1046"/>
      <c r="C466" s="1047">
        <f>SUM(C465:C465)</f>
        <v>6292.5</v>
      </c>
      <c r="D466" s="1048"/>
      <c r="E466" s="424" t="s">
        <v>1</v>
      </c>
      <c r="F466" s="589"/>
      <c r="G466" s="424" t="s">
        <v>532</v>
      </c>
      <c r="H466" s="425"/>
      <c r="I466" s="425">
        <f>'TT entry &amp; transportation'!$M$249</f>
        <v>6292.5</v>
      </c>
      <c r="J466" s="133"/>
      <c r="K466" s="133"/>
      <c r="L466" s="133"/>
      <c r="M466" s="133"/>
    </row>
    <row r="467" spans="1:13" s="247" customFormat="1" ht="14.4" x14ac:dyDescent="0.3">
      <c r="A467" s="438" t="s">
        <v>1</v>
      </c>
      <c r="B467" s="449" t="s">
        <v>1</v>
      </c>
      <c r="C467" s="150"/>
      <c r="D467" s="150"/>
      <c r="E467" s="427" t="s">
        <v>1</v>
      </c>
      <c r="F467" s="176"/>
      <c r="G467" s="427" t="s">
        <v>533</v>
      </c>
      <c r="H467" s="175"/>
      <c r="I467" s="430">
        <f>'Payment T&amp;T LAWSON'!$L$61</f>
        <v>6292.5</v>
      </c>
    </row>
    <row r="468" spans="1:13" s="247" customFormat="1" ht="14.4" x14ac:dyDescent="0.3">
      <c r="A468" s="1049" t="s">
        <v>523</v>
      </c>
      <c r="B468" s="1050"/>
      <c r="C468" s="431">
        <f>'CTE TRANS'!$AL$62</f>
        <v>3405</v>
      </c>
      <c r="D468" s="150"/>
      <c r="E468" s="427" t="s">
        <v>1</v>
      </c>
      <c r="F468" s="597"/>
      <c r="G468" s="427" t="s">
        <v>533</v>
      </c>
      <c r="H468" s="427"/>
      <c r="I468" s="430">
        <f>'Payment T&amp;T LAWSON'!M61+'Payment T&amp;T LAWSON'!$M$61</f>
        <v>0</v>
      </c>
      <c r="J468" s="182"/>
      <c r="K468" s="182"/>
      <c r="L468" s="182"/>
      <c r="M468" s="182"/>
    </row>
    <row r="469" spans="1:13" s="247" customFormat="1" x14ac:dyDescent="0.25">
      <c r="A469" s="413"/>
      <c r="B469" s="150"/>
      <c r="C469" s="150"/>
      <c r="D469" s="150"/>
      <c r="E469" s="150"/>
      <c r="F469" s="406"/>
      <c r="G469" s="495"/>
      <c r="H469" s="495"/>
      <c r="I469" s="495"/>
      <c r="J469" s="182"/>
      <c r="K469" s="182"/>
      <c r="L469" s="182"/>
      <c r="M469" s="182"/>
    </row>
    <row r="470" spans="1:13" s="247" customFormat="1" ht="14.4" x14ac:dyDescent="0.3">
      <c r="A470" s="1049" t="s">
        <v>524</v>
      </c>
      <c r="B470" s="1050"/>
      <c r="C470" s="371" t="s">
        <v>1</v>
      </c>
      <c r="D470" s="372" t="s">
        <v>1</v>
      </c>
      <c r="E470" s="150"/>
      <c r="F470" s="406"/>
      <c r="G470" s="495"/>
      <c r="H470" s="495"/>
      <c r="I470" s="495"/>
      <c r="J470" s="182"/>
      <c r="K470" s="182"/>
      <c r="L470" s="182"/>
      <c r="M470" s="182"/>
    </row>
    <row r="471" spans="1:13" s="247" customFormat="1" x14ac:dyDescent="0.25">
      <c r="A471" s="413"/>
      <c r="B471" s="150"/>
      <c r="C471" s="373">
        <f>D459</f>
        <v>334131.38</v>
      </c>
      <c r="D471" s="441" t="s">
        <v>548</v>
      </c>
      <c r="E471" s="150"/>
      <c r="F471" s="406"/>
      <c r="G471" s="495"/>
      <c r="H471" s="495"/>
      <c r="I471" s="495"/>
      <c r="J471" s="182"/>
      <c r="K471" s="182"/>
      <c r="L471" s="182"/>
      <c r="M471" s="182"/>
    </row>
    <row r="472" spans="1:13" s="247" customFormat="1" x14ac:dyDescent="0.25">
      <c r="A472" s="413"/>
      <c r="B472" s="150"/>
      <c r="C472" s="386">
        <f>C466</f>
        <v>6292.5</v>
      </c>
      <c r="D472" s="442" t="s">
        <v>549</v>
      </c>
      <c r="E472" s="150"/>
      <c r="F472" s="406"/>
      <c r="G472" s="495"/>
      <c r="H472" s="495"/>
      <c r="I472" s="495"/>
      <c r="J472" s="182"/>
      <c r="K472" s="182"/>
      <c r="L472" s="182"/>
      <c r="M472" s="182"/>
    </row>
    <row r="473" spans="1:13" s="247" customFormat="1" ht="14.4" x14ac:dyDescent="0.3">
      <c r="A473" s="414" t="s">
        <v>1</v>
      </c>
      <c r="B473" s="375"/>
      <c r="C473" s="386">
        <f>C468</f>
        <v>3405</v>
      </c>
      <c r="D473" s="377" t="s">
        <v>526</v>
      </c>
      <c r="E473" s="150"/>
      <c r="F473" s="406"/>
      <c r="G473" s="495"/>
      <c r="H473" s="495"/>
      <c r="I473" s="495"/>
      <c r="J473" s="182"/>
      <c r="K473" s="182"/>
      <c r="L473" s="182"/>
      <c r="M473" s="182"/>
    </row>
    <row r="474" spans="1:13" s="247" customFormat="1" ht="14.4" x14ac:dyDescent="0.3">
      <c r="A474" s="1045" t="s">
        <v>527</v>
      </c>
      <c r="B474" s="1046"/>
      <c r="C474" s="1047">
        <f>SUM(C471:C473)</f>
        <v>343828.88</v>
      </c>
      <c r="D474" s="1048"/>
      <c r="E474" s="427" t="s">
        <v>1</v>
      </c>
      <c r="F474" s="366"/>
      <c r="G474" s="427" t="s">
        <v>533</v>
      </c>
      <c r="H474" s="495"/>
      <c r="I474" s="425">
        <f>'Payment T&amp;T LAWSON'!$N$61</f>
        <v>343828.88</v>
      </c>
      <c r="J474" s="182"/>
      <c r="K474" s="182"/>
      <c r="L474" s="182"/>
      <c r="M474" s="182"/>
    </row>
    <row r="475" spans="1:13" s="247" customFormat="1" x14ac:dyDescent="0.25">
      <c r="A475" s="415"/>
      <c r="B475" s="372"/>
      <c r="C475" s="372"/>
      <c r="D475" s="372"/>
      <c r="E475" s="372"/>
      <c r="F475" s="416"/>
      <c r="G475" s="495"/>
      <c r="H475" s="495"/>
      <c r="I475" s="495"/>
    </row>
    <row r="476" spans="1:13" s="247" customFormat="1" x14ac:dyDescent="0.25">
      <c r="A476" s="150"/>
      <c r="B476" s="150"/>
      <c r="C476" s="150"/>
      <c r="D476" s="150"/>
      <c r="E476" s="150"/>
      <c r="F476" s="150"/>
      <c r="G476" s="495"/>
      <c r="H476" s="495"/>
      <c r="I476" s="495"/>
    </row>
    <row r="478" spans="1:13" s="247" customFormat="1" ht="15.6" x14ac:dyDescent="0.3">
      <c r="A478" s="1051" t="s">
        <v>558</v>
      </c>
      <c r="B478" s="1052"/>
      <c r="C478" s="1052"/>
      <c r="D478" s="1052"/>
      <c r="E478" s="1052"/>
      <c r="F478" s="1053"/>
      <c r="G478" s="602"/>
      <c r="H478" s="602"/>
      <c r="I478" s="495"/>
      <c r="J478" s="182"/>
      <c r="K478" s="182"/>
      <c r="L478" s="182"/>
      <c r="M478" s="182"/>
    </row>
    <row r="479" spans="1:13" s="247" customFormat="1" ht="15.6" x14ac:dyDescent="0.3">
      <c r="A479" s="1054" t="str">
        <f>$A$2</f>
        <v xml:space="preserve">School Year 2020-2021 </v>
      </c>
      <c r="B479" s="1055"/>
      <c r="C479" s="1055"/>
      <c r="D479" s="1055"/>
      <c r="E479" s="1055"/>
      <c r="F479" s="1056"/>
      <c r="G479" s="602"/>
      <c r="H479" s="602"/>
      <c r="I479" s="495"/>
      <c r="J479" s="182"/>
      <c r="K479" s="182"/>
      <c r="L479" s="182"/>
      <c r="M479" s="182"/>
    </row>
    <row r="480" spans="1:13" s="247" customFormat="1" x14ac:dyDescent="0.25">
      <c r="A480" s="1037" t="s">
        <v>513</v>
      </c>
      <c r="B480" s="1038"/>
      <c r="C480" s="150"/>
      <c r="D480" s="150"/>
      <c r="E480" s="150"/>
      <c r="F480" s="406"/>
      <c r="G480" s="495"/>
      <c r="H480" s="495"/>
      <c r="I480" s="495"/>
      <c r="J480" s="182"/>
      <c r="K480" s="182"/>
      <c r="L480" s="182"/>
      <c r="M480" s="182"/>
    </row>
    <row r="481" spans="1:13" s="247" customFormat="1" ht="14.4" x14ac:dyDescent="0.3">
      <c r="A481" s="407"/>
      <c r="B481" s="353"/>
      <c r="C481" s="354" t="s">
        <v>514</v>
      </c>
      <c r="D481" s="355" t="s">
        <v>515</v>
      </c>
      <c r="E481" s="392"/>
      <c r="F481" s="587"/>
      <c r="G481" s="388"/>
      <c r="H481" s="388"/>
      <c r="I481" s="495"/>
      <c r="J481" s="182"/>
      <c r="K481" s="182"/>
      <c r="L481" s="182"/>
      <c r="M481" s="182"/>
    </row>
    <row r="482" spans="1:13" s="247" customFormat="1" ht="14.4" x14ac:dyDescent="0.3">
      <c r="A482" s="407"/>
      <c r="B482" s="353"/>
      <c r="C482" s="356" t="s">
        <v>516</v>
      </c>
      <c r="D482" s="357" t="s">
        <v>517</v>
      </c>
      <c r="E482" s="393"/>
      <c r="F482" s="588"/>
      <c r="G482" s="390"/>
      <c r="H482" s="390"/>
      <c r="I482" s="495"/>
      <c r="J482" s="182"/>
      <c r="K482" s="182"/>
      <c r="L482" s="182"/>
      <c r="M482" s="182"/>
    </row>
    <row r="483" spans="1:13" s="247" customFormat="1" ht="14.4" x14ac:dyDescent="0.3">
      <c r="A483" s="134" t="s">
        <v>559</v>
      </c>
      <c r="B483" s="408"/>
      <c r="C483" s="384">
        <f>'TT entry &amp; transportation'!$K$159</f>
        <v>1</v>
      </c>
      <c r="D483" s="358">
        <f>C483*$B$485</f>
        <v>3726.37</v>
      </c>
      <c r="E483" s="174"/>
      <c r="F483" s="176"/>
      <c r="G483" s="391"/>
      <c r="H483" s="593"/>
      <c r="I483" s="599"/>
      <c r="J483" s="133"/>
      <c r="K483" s="133"/>
      <c r="L483" s="133"/>
      <c r="M483" s="133"/>
    </row>
    <row r="484" spans="1:13" s="247" customFormat="1" ht="14.4" x14ac:dyDescent="0.3">
      <c r="A484" s="1045" t="s">
        <v>518</v>
      </c>
      <c r="B484" s="1046"/>
      <c r="C484" s="360">
        <f>SUM(C483:C483)</f>
        <v>1</v>
      </c>
      <c r="D484" s="361">
        <f>SUM(D483:D483)</f>
        <v>3726.37</v>
      </c>
      <c r="E484" s="424" t="s">
        <v>1</v>
      </c>
      <c r="F484" s="589"/>
      <c r="G484" s="424" t="s">
        <v>532</v>
      </c>
      <c r="H484" s="425"/>
      <c r="I484" s="425">
        <f>'TT entry &amp; transportation'!$M$160</f>
        <v>3726.37</v>
      </c>
      <c r="J484" s="133"/>
      <c r="K484" s="133"/>
      <c r="L484" s="133"/>
      <c r="M484" s="133"/>
    </row>
    <row r="485" spans="1:13" s="182" customFormat="1" x14ac:dyDescent="0.25">
      <c r="A485" s="409" t="s">
        <v>596</v>
      </c>
      <c r="B485" s="448">
        <f>'TT entry &amp; transportation'!$B$266</f>
        <v>3726.3709260000001</v>
      </c>
      <c r="C485" s="385" t="s">
        <v>1</v>
      </c>
      <c r="D485" s="175"/>
      <c r="E485" s="427" t="s">
        <v>1</v>
      </c>
      <c r="F485" s="176"/>
      <c r="G485" s="427" t="s">
        <v>533</v>
      </c>
      <c r="H485" s="175"/>
      <c r="I485" s="428">
        <f>'Payment T&amp;T LAWSON'!$I$59</f>
        <v>3726.37</v>
      </c>
      <c r="J485" s="133"/>
      <c r="K485" s="133"/>
      <c r="L485" s="133"/>
      <c r="M485" s="133"/>
    </row>
    <row r="486" spans="1:13" s="182" customFormat="1" ht="14.4" x14ac:dyDescent="0.3">
      <c r="A486" s="410"/>
      <c r="B486" s="411"/>
      <c r="C486" s="175"/>
      <c r="D486" s="175"/>
      <c r="E486" s="175"/>
      <c r="F486" s="176"/>
      <c r="G486" s="175"/>
      <c r="H486" s="175"/>
      <c r="I486" s="363"/>
      <c r="J486" s="133"/>
      <c r="K486" s="133"/>
      <c r="L486" s="133"/>
      <c r="M486" s="133"/>
    </row>
    <row r="487" spans="1:13" s="247" customFormat="1" ht="14.4" x14ac:dyDescent="0.3">
      <c r="A487" s="1049" t="s">
        <v>523</v>
      </c>
      <c r="B487" s="1050"/>
      <c r="C487" s="412">
        <v>0</v>
      </c>
      <c r="D487" s="150"/>
      <c r="E487" s="427" t="s">
        <v>1</v>
      </c>
      <c r="F487" s="406"/>
      <c r="G487" s="427" t="s">
        <v>533</v>
      </c>
      <c r="H487" s="495"/>
      <c r="I487" s="425">
        <f>'Payment T&amp;T LAWSON'!$K$59</f>
        <v>0</v>
      </c>
      <c r="J487" s="182"/>
      <c r="K487" s="182"/>
      <c r="L487" s="182"/>
      <c r="M487" s="182"/>
    </row>
    <row r="488" spans="1:13" s="247" customFormat="1" x14ac:dyDescent="0.25">
      <c r="A488" s="413"/>
      <c r="B488" s="150"/>
      <c r="C488" s="150"/>
      <c r="D488" s="150"/>
      <c r="E488" s="150"/>
      <c r="F488" s="406"/>
      <c r="G488" s="495"/>
      <c r="H488" s="495"/>
      <c r="I488" s="495"/>
      <c r="J488" s="182"/>
      <c r="K488" s="182"/>
      <c r="L488" s="182"/>
      <c r="M488" s="182"/>
    </row>
    <row r="489" spans="1:13" s="247" customFormat="1" ht="14.4" x14ac:dyDescent="0.3">
      <c r="A489" s="1049" t="s">
        <v>524</v>
      </c>
      <c r="B489" s="1050"/>
      <c r="C489" s="371" t="s">
        <v>1</v>
      </c>
      <c r="D489" s="372" t="s">
        <v>1</v>
      </c>
      <c r="E489" s="150"/>
      <c r="F489" s="406"/>
      <c r="G489" s="495"/>
      <c r="H489" s="495"/>
      <c r="I489" s="495"/>
      <c r="J489" s="182"/>
      <c r="K489" s="182"/>
      <c r="L489" s="182"/>
      <c r="M489" s="182"/>
    </row>
    <row r="490" spans="1:13" s="247" customFormat="1" x14ac:dyDescent="0.25">
      <c r="A490" s="413"/>
      <c r="B490" s="150"/>
      <c r="C490" s="373">
        <f>D484</f>
        <v>3726.37</v>
      </c>
      <c r="D490" s="374" t="s">
        <v>167</v>
      </c>
      <c r="E490" s="150"/>
      <c r="F490" s="406"/>
      <c r="G490" s="495"/>
      <c r="H490" s="495"/>
      <c r="I490" s="495"/>
      <c r="J490" s="182"/>
      <c r="K490" s="182"/>
      <c r="L490" s="182"/>
      <c r="M490" s="182"/>
    </row>
    <row r="491" spans="1:13" s="247" customFormat="1" ht="14.4" x14ac:dyDescent="0.3">
      <c r="A491" s="414" t="s">
        <v>1</v>
      </c>
      <c r="B491" s="375"/>
      <c r="C491" s="386">
        <f>C487</f>
        <v>0</v>
      </c>
      <c r="D491" s="377" t="s">
        <v>526</v>
      </c>
      <c r="E491" s="150"/>
      <c r="F491" s="406"/>
      <c r="G491" s="495"/>
      <c r="H491" s="495"/>
      <c r="I491" s="495"/>
      <c r="J491" s="182"/>
      <c r="K491" s="182"/>
      <c r="L491" s="182"/>
      <c r="M491" s="182"/>
    </row>
    <row r="492" spans="1:13" s="247" customFormat="1" ht="14.4" x14ac:dyDescent="0.3">
      <c r="A492" s="1045" t="s">
        <v>527</v>
      </c>
      <c r="B492" s="1046"/>
      <c r="C492" s="1047">
        <f>SUM(C490:C491)</f>
        <v>3726.37</v>
      </c>
      <c r="D492" s="1048"/>
      <c r="E492" s="427" t="s">
        <v>1</v>
      </c>
      <c r="F492" s="406"/>
      <c r="G492" s="427" t="s">
        <v>533</v>
      </c>
      <c r="H492" s="495"/>
      <c r="I492" s="425">
        <f>'Payment T&amp;T LAWSON'!$N$59</f>
        <v>3726.37</v>
      </c>
      <c r="J492" s="182"/>
      <c r="K492" s="182"/>
      <c r="L492" s="182"/>
      <c r="M492" s="182"/>
    </row>
    <row r="493" spans="1:13" s="247" customFormat="1" x14ac:dyDescent="0.25">
      <c r="A493" s="415"/>
      <c r="B493" s="372"/>
      <c r="C493" s="372"/>
      <c r="D493" s="372"/>
      <c r="E493" s="372"/>
      <c r="F493" s="416"/>
      <c r="G493" s="495"/>
      <c r="H493" s="495"/>
      <c r="I493" s="495"/>
    </row>
    <row r="494" spans="1:13" s="247" customFormat="1" x14ac:dyDescent="0.25">
      <c r="A494" s="150"/>
      <c r="B494" s="150"/>
      <c r="C494" s="150"/>
      <c r="D494" s="150"/>
      <c r="E494" s="150"/>
      <c r="F494" s="150"/>
      <c r="G494" s="495"/>
      <c r="H494" s="495"/>
      <c r="I494" s="495"/>
    </row>
    <row r="496" spans="1:13" s="247" customFormat="1" ht="15.6" x14ac:dyDescent="0.3">
      <c r="A496" s="1051" t="s">
        <v>560</v>
      </c>
      <c r="B496" s="1052"/>
      <c r="C496" s="1052"/>
      <c r="D496" s="1052"/>
      <c r="E496" s="1052"/>
      <c r="F496" s="1053"/>
      <c r="G496" s="602"/>
      <c r="H496" s="602"/>
      <c r="I496" s="495"/>
      <c r="J496" s="182"/>
      <c r="K496" s="182"/>
      <c r="L496" s="182"/>
      <c r="M496" s="182"/>
    </row>
    <row r="497" spans="1:13" s="247" customFormat="1" ht="15.6" x14ac:dyDescent="0.3">
      <c r="A497" s="1054" t="str">
        <f>$A$2</f>
        <v xml:space="preserve">School Year 2020-2021 </v>
      </c>
      <c r="B497" s="1055"/>
      <c r="C497" s="1055"/>
      <c r="D497" s="1055"/>
      <c r="E497" s="1055"/>
      <c r="F497" s="1056"/>
      <c r="G497" s="602"/>
      <c r="H497" s="602"/>
      <c r="I497" s="495"/>
      <c r="J497" s="182"/>
      <c r="K497" s="182"/>
      <c r="L497" s="182"/>
      <c r="M497" s="182"/>
    </row>
    <row r="498" spans="1:13" s="247" customFormat="1" x14ac:dyDescent="0.25">
      <c r="A498" s="1037" t="s">
        <v>513</v>
      </c>
      <c r="B498" s="1038"/>
      <c r="C498" s="150"/>
      <c r="D498" s="150"/>
      <c r="E498" s="150"/>
      <c r="F498" s="406"/>
      <c r="G498" s="495"/>
      <c r="H498" s="495"/>
      <c r="I498" s="495"/>
      <c r="J498" s="182"/>
      <c r="K498" s="182"/>
      <c r="L498" s="182"/>
      <c r="M498" s="182"/>
    </row>
    <row r="499" spans="1:13" s="247" customFormat="1" ht="14.4" x14ac:dyDescent="0.3">
      <c r="A499" s="407"/>
      <c r="B499" s="353"/>
      <c r="C499" s="354" t="s">
        <v>514</v>
      </c>
      <c r="D499" s="355" t="s">
        <v>515</v>
      </c>
      <c r="E499" s="392"/>
      <c r="F499" s="587"/>
      <c r="G499" s="388"/>
      <c r="H499" s="388"/>
      <c r="I499" s="495"/>
      <c r="J499" s="182"/>
      <c r="K499" s="182"/>
      <c r="L499" s="182"/>
      <c r="M499" s="182"/>
    </row>
    <row r="500" spans="1:13" s="247" customFormat="1" ht="14.4" x14ac:dyDescent="0.3">
      <c r="A500" s="407"/>
      <c r="B500" s="353"/>
      <c r="C500" s="356" t="s">
        <v>516</v>
      </c>
      <c r="D500" s="357" t="s">
        <v>517</v>
      </c>
      <c r="E500" s="393"/>
      <c r="F500" s="588"/>
      <c r="G500" s="390"/>
      <c r="H500" s="390"/>
      <c r="I500" s="495"/>
      <c r="J500" s="182"/>
      <c r="K500" s="182"/>
      <c r="L500" s="182"/>
      <c r="M500" s="182"/>
    </row>
    <row r="501" spans="1:13" s="247" customFormat="1" x14ac:dyDescent="0.25">
      <c r="A501" s="130" t="s">
        <v>16</v>
      </c>
      <c r="B501" s="150"/>
      <c r="C501" s="432">
        <f>'TT entry &amp; transportation'!$K$161</f>
        <v>13.833349999999999</v>
      </c>
      <c r="D501" s="435">
        <f>C501*$B$433+0.01</f>
        <v>51548.2</v>
      </c>
      <c r="E501" s="130" t="s">
        <v>1</v>
      </c>
      <c r="F501" s="406"/>
      <c r="G501" s="722" t="s">
        <v>637</v>
      </c>
      <c r="H501" s="495"/>
      <c r="I501" s="495"/>
    </row>
    <row r="502" spans="1:13" s="247" customFormat="1" x14ac:dyDescent="0.25">
      <c r="A502" s="130" t="s">
        <v>413</v>
      </c>
      <c r="B502" s="150"/>
      <c r="C502" s="433">
        <f>'TT entry &amp; transportation'!$K$162</f>
        <v>5.5</v>
      </c>
      <c r="D502" s="436">
        <f>C502*$B$433</f>
        <v>20495.04</v>
      </c>
      <c r="E502" s="130" t="s">
        <v>1</v>
      </c>
      <c r="F502" s="406"/>
      <c r="G502" s="495"/>
      <c r="H502" s="495"/>
      <c r="I502" s="495"/>
    </row>
    <row r="503" spans="1:13" s="487" customFormat="1" x14ac:dyDescent="0.25">
      <c r="A503" s="130" t="s">
        <v>18</v>
      </c>
      <c r="B503" s="150"/>
      <c r="C503" s="433">
        <f>'TT entry &amp; transportation'!K163</f>
        <v>4</v>
      </c>
      <c r="D503" s="436">
        <f>'TT entry &amp; transportation'!L163</f>
        <v>14905.48</v>
      </c>
      <c r="E503" s="130"/>
      <c r="F503" s="406"/>
      <c r="G503" s="495"/>
      <c r="H503" s="495"/>
      <c r="I503" s="495"/>
    </row>
    <row r="504" spans="1:13" s="247" customFormat="1" x14ac:dyDescent="0.25">
      <c r="A504" s="130" t="s">
        <v>141</v>
      </c>
      <c r="B504" s="150"/>
      <c r="C504" s="433">
        <f>'TT entry &amp; transportation'!$K$164</f>
        <v>2.6667000000000001</v>
      </c>
      <c r="D504" s="437">
        <f>C504*$B$433</f>
        <v>9937.11</v>
      </c>
      <c r="E504" s="130" t="s">
        <v>1</v>
      </c>
      <c r="F504" s="406"/>
      <c r="G504" s="495"/>
      <c r="H504" s="495"/>
      <c r="I504" s="495"/>
    </row>
    <row r="505" spans="1:13" s="247" customFormat="1" ht="14.4" x14ac:dyDescent="0.3">
      <c r="A505" s="1045" t="s">
        <v>518</v>
      </c>
      <c r="B505" s="1046"/>
      <c r="C505" s="360">
        <f>SUM(C501:C504)</f>
        <v>26.000050000000002</v>
      </c>
      <c r="D505" s="361">
        <f>SUM(D501:D504)</f>
        <v>96885.83</v>
      </c>
      <c r="E505" s="424" t="s">
        <v>1</v>
      </c>
      <c r="F505" s="589" t="s">
        <v>1</v>
      </c>
      <c r="G505" s="424" t="s">
        <v>532</v>
      </c>
      <c r="H505" s="425"/>
      <c r="I505" s="425">
        <f>'TT entry &amp; transportation'!$M$165</f>
        <v>96885.83</v>
      </c>
      <c r="J505" s="133"/>
      <c r="K505" s="133"/>
      <c r="L505" s="133"/>
      <c r="M505" s="133"/>
    </row>
    <row r="506" spans="1:13" s="247" customFormat="1" ht="14.4" x14ac:dyDescent="0.3">
      <c r="A506" s="409" t="s">
        <v>596</v>
      </c>
      <c r="B506" s="448">
        <f>'TT entry &amp; transportation'!$B$266</f>
        <v>3726.3709260000001</v>
      </c>
      <c r="C506" s="150"/>
      <c r="D506" s="150"/>
      <c r="E506" s="427" t="s">
        <v>1</v>
      </c>
      <c r="F506" s="176"/>
      <c r="G506" s="427" t="s">
        <v>533</v>
      </c>
      <c r="H506" s="175"/>
      <c r="I506" s="430">
        <f>'Payment T&amp;T LAWSON'!$I$69</f>
        <v>96885.83</v>
      </c>
    </row>
    <row r="507" spans="1:13" s="247" customFormat="1" x14ac:dyDescent="0.25">
      <c r="A507" s="413"/>
      <c r="B507" s="150"/>
      <c r="C507" s="150"/>
      <c r="D507" s="150"/>
      <c r="E507" s="150"/>
      <c r="F507" s="406"/>
      <c r="G507" s="495"/>
      <c r="H507" s="495"/>
      <c r="I507" s="495"/>
    </row>
    <row r="508" spans="1:13" s="247" customFormat="1" ht="14.4" x14ac:dyDescent="0.3">
      <c r="A508" s="1049" t="s">
        <v>523</v>
      </c>
      <c r="B508" s="1050"/>
      <c r="C508" s="431">
        <f>'CTE TRANS'!$AL$70</f>
        <v>4046.4</v>
      </c>
      <c r="D508" s="150"/>
      <c r="E508" s="427" t="s">
        <v>1</v>
      </c>
      <c r="F508" s="597"/>
      <c r="G508" s="427" t="s">
        <v>533</v>
      </c>
      <c r="H508" s="427"/>
      <c r="I508" s="430">
        <f>'Payment T&amp;T LAWSON'!$K$69</f>
        <v>4046.4</v>
      </c>
      <c r="J508" s="182"/>
      <c r="K508" s="182"/>
      <c r="L508" s="182"/>
      <c r="M508" s="182"/>
    </row>
    <row r="509" spans="1:13" s="247" customFormat="1" x14ac:dyDescent="0.25">
      <c r="A509" s="413"/>
      <c r="B509" s="150"/>
      <c r="C509" s="150"/>
      <c r="D509" s="150"/>
      <c r="E509" s="150"/>
      <c r="F509" s="406"/>
      <c r="G509" s="495"/>
      <c r="H509" s="495"/>
      <c r="I509" s="495"/>
      <c r="J509" s="182"/>
      <c r="K509" s="182"/>
      <c r="L509" s="182"/>
      <c r="M509" s="182"/>
    </row>
    <row r="510" spans="1:13" s="247" customFormat="1" ht="14.4" x14ac:dyDescent="0.3">
      <c r="A510" s="1049" t="s">
        <v>524</v>
      </c>
      <c r="B510" s="1050"/>
      <c r="C510" s="371" t="s">
        <v>1</v>
      </c>
      <c r="D510" s="372" t="s">
        <v>1</v>
      </c>
      <c r="E510" s="150"/>
      <c r="F510" s="406"/>
      <c r="G510" s="495"/>
      <c r="H510" s="495"/>
      <c r="I510" s="495"/>
      <c r="J510" s="182"/>
      <c r="K510" s="182"/>
      <c r="L510" s="182"/>
      <c r="M510" s="182"/>
    </row>
    <row r="511" spans="1:13" s="247" customFormat="1" x14ac:dyDescent="0.25">
      <c r="A511" s="413"/>
      <c r="B511" s="150"/>
      <c r="C511" s="373">
        <f>D505</f>
        <v>96885.83</v>
      </c>
      <c r="D511" s="374" t="s">
        <v>167</v>
      </c>
      <c r="E511" s="150"/>
      <c r="F511" s="406"/>
      <c r="G511" s="495"/>
      <c r="H511" s="495"/>
      <c r="I511" s="495"/>
      <c r="J511" s="182"/>
      <c r="K511" s="182"/>
      <c r="L511" s="182"/>
      <c r="M511" s="182"/>
    </row>
    <row r="512" spans="1:13" s="247" customFormat="1" ht="14.4" x14ac:dyDescent="0.3">
      <c r="A512" s="414" t="s">
        <v>1</v>
      </c>
      <c r="B512" s="375"/>
      <c r="C512" s="386">
        <f>C508</f>
        <v>4046.4</v>
      </c>
      <c r="D512" s="377" t="s">
        <v>526</v>
      </c>
      <c r="E512" s="150"/>
      <c r="F512" s="406"/>
      <c r="G512" s="495"/>
      <c r="H512" s="495"/>
      <c r="I512" s="495"/>
      <c r="J512" s="182"/>
      <c r="K512" s="182"/>
      <c r="L512" s="182"/>
      <c r="M512" s="182"/>
    </row>
    <row r="513" spans="1:13" s="247" customFormat="1" ht="14.4" x14ac:dyDescent="0.3">
      <c r="A513" s="1045" t="s">
        <v>527</v>
      </c>
      <c r="B513" s="1046"/>
      <c r="C513" s="1047">
        <f>SUM(C511:C512)</f>
        <v>100932.23</v>
      </c>
      <c r="D513" s="1048"/>
      <c r="E513" s="427" t="s">
        <v>1</v>
      </c>
      <c r="F513" s="366"/>
      <c r="G513" s="427" t="s">
        <v>533</v>
      </c>
      <c r="H513" s="495"/>
      <c r="I513" s="425">
        <f>'Payment T&amp;T LAWSON'!$N$69</f>
        <v>100932.23</v>
      </c>
      <c r="J513" s="182"/>
      <c r="K513" s="182"/>
      <c r="L513" s="182"/>
      <c r="M513" s="182"/>
    </row>
    <row r="514" spans="1:13" s="247" customFormat="1" x14ac:dyDescent="0.25">
      <c r="A514" s="415"/>
      <c r="B514" s="372"/>
      <c r="C514" s="372"/>
      <c r="D514" s="372"/>
      <c r="E514" s="372"/>
      <c r="F514" s="416"/>
      <c r="G514" s="495"/>
      <c r="H514" s="495"/>
      <c r="I514" s="495"/>
    </row>
    <row r="515" spans="1:13" s="247" customFormat="1" x14ac:dyDescent="0.25">
      <c r="A515" s="150"/>
      <c r="B515" s="150"/>
      <c r="C515" s="150"/>
      <c r="D515" s="150"/>
      <c r="E515" s="150"/>
      <c r="F515" s="150"/>
      <c r="G515" s="495"/>
      <c r="H515" s="495"/>
      <c r="I515" s="495"/>
    </row>
    <row r="517" spans="1:13" s="247" customFormat="1" ht="15.6" x14ac:dyDescent="0.3">
      <c r="A517" s="1051" t="s">
        <v>561</v>
      </c>
      <c r="B517" s="1052"/>
      <c r="C517" s="1052"/>
      <c r="D517" s="1052"/>
      <c r="E517" s="1052"/>
      <c r="F517" s="1053"/>
      <c r="G517" s="602"/>
      <c r="H517" s="602"/>
      <c r="I517" s="495"/>
      <c r="J517" s="182"/>
      <c r="K517" s="182"/>
      <c r="L517" s="182"/>
      <c r="M517" s="182"/>
    </row>
    <row r="518" spans="1:13" s="247" customFormat="1" ht="15.6" x14ac:dyDescent="0.3">
      <c r="A518" s="1054" t="str">
        <f>$A$2</f>
        <v xml:space="preserve">School Year 2020-2021 </v>
      </c>
      <c r="B518" s="1055"/>
      <c r="C518" s="1055"/>
      <c r="D518" s="1055"/>
      <c r="E518" s="1055"/>
      <c r="F518" s="1056"/>
      <c r="G518" s="602"/>
      <c r="H518" s="602"/>
      <c r="I518" s="495"/>
      <c r="J518" s="182"/>
      <c r="K518" s="182"/>
      <c r="L518" s="182"/>
      <c r="M518" s="182"/>
    </row>
    <row r="519" spans="1:13" s="247" customFormat="1" x14ac:dyDescent="0.25">
      <c r="A519" s="1037" t="s">
        <v>513</v>
      </c>
      <c r="B519" s="1038"/>
      <c r="C519" s="150"/>
      <c r="D519" s="150"/>
      <c r="E519" s="150"/>
      <c r="F519" s="406"/>
      <c r="G519" s="495"/>
      <c r="H519" s="495"/>
      <c r="I519" s="495"/>
      <c r="J519" s="182"/>
      <c r="K519" s="182"/>
      <c r="L519" s="182"/>
      <c r="M519" s="182"/>
    </row>
    <row r="520" spans="1:13" s="247" customFormat="1" ht="14.4" x14ac:dyDescent="0.3">
      <c r="A520" s="407"/>
      <c r="B520" s="353"/>
      <c r="C520" s="354" t="s">
        <v>514</v>
      </c>
      <c r="D520" s="355" t="s">
        <v>515</v>
      </c>
      <c r="E520" s="392"/>
      <c r="F520" s="587"/>
      <c r="G520" s="388"/>
      <c r="H520" s="388"/>
      <c r="I520" s="495"/>
      <c r="J520" s="182"/>
      <c r="K520" s="182"/>
      <c r="L520" s="182"/>
      <c r="M520" s="182"/>
    </row>
    <row r="521" spans="1:13" s="247" customFormat="1" ht="14.4" x14ac:dyDescent="0.3">
      <c r="A521" s="407"/>
      <c r="B521" s="353"/>
      <c r="C521" s="356" t="s">
        <v>516</v>
      </c>
      <c r="D521" s="357" t="s">
        <v>517</v>
      </c>
      <c r="E521" s="393"/>
      <c r="F521" s="588"/>
      <c r="G521" s="390"/>
      <c r="H521" s="390"/>
      <c r="I521" s="495"/>
      <c r="J521" s="182"/>
      <c r="K521" s="182"/>
      <c r="L521" s="182"/>
      <c r="M521" s="182"/>
    </row>
    <row r="522" spans="1:13" s="247" customFormat="1" hidden="1" x14ac:dyDescent="0.25">
      <c r="A522" s="134" t="s">
        <v>406</v>
      </c>
      <c r="B522" s="150"/>
      <c r="C522" s="432">
        <f>'TT entry &amp; transportation'!$K$166</f>
        <v>0</v>
      </c>
      <c r="D522" s="435">
        <f>C522*$B$527</f>
        <v>0</v>
      </c>
      <c r="E522" s="130" t="s">
        <v>1</v>
      </c>
      <c r="F522" s="406"/>
      <c r="G522" s="495"/>
      <c r="H522" s="495"/>
      <c r="I522" s="495"/>
    </row>
    <row r="523" spans="1:13" s="487" customFormat="1" x14ac:dyDescent="0.25">
      <c r="A523" s="130" t="s">
        <v>196</v>
      </c>
      <c r="B523" s="150"/>
      <c r="C523" s="433">
        <f>'TT entry &amp; transportation'!K167</f>
        <v>3</v>
      </c>
      <c r="D523" s="436">
        <f>'TT entry &amp; transportation'!L167</f>
        <v>11179.11</v>
      </c>
      <c r="E523" s="130"/>
      <c r="F523" s="406"/>
      <c r="G523" s="495"/>
      <c r="H523" s="495"/>
      <c r="I523" s="495"/>
    </row>
    <row r="524" spans="1:13" s="247" customFormat="1" x14ac:dyDescent="0.25">
      <c r="A524" s="134" t="s">
        <v>408</v>
      </c>
      <c r="B524" s="150"/>
      <c r="C524" s="433">
        <f>'TT entry &amp; transportation'!$K$168</f>
        <v>66.5</v>
      </c>
      <c r="D524" s="436">
        <f>C524*$B$527</f>
        <v>247803.67</v>
      </c>
      <c r="E524" s="130" t="s">
        <v>1</v>
      </c>
      <c r="F524" s="406"/>
      <c r="G524" s="495"/>
      <c r="H524" s="495"/>
      <c r="I524" s="495"/>
    </row>
    <row r="525" spans="1:13" s="247" customFormat="1" x14ac:dyDescent="0.25">
      <c r="A525" s="134" t="s">
        <v>415</v>
      </c>
      <c r="B525" s="150"/>
      <c r="C525" s="433">
        <f>'TT entry &amp; transportation'!$K$169</f>
        <v>106.99995</v>
      </c>
      <c r="D525" s="437">
        <f>C525*$B$527</f>
        <v>398721.5</v>
      </c>
      <c r="E525" s="130" t="s">
        <v>1</v>
      </c>
      <c r="F525" s="406"/>
      <c r="G525" s="722" t="s">
        <v>1</v>
      </c>
      <c r="H525" s="495"/>
      <c r="I525" s="495"/>
    </row>
    <row r="526" spans="1:13" s="247" customFormat="1" ht="14.4" x14ac:dyDescent="0.3">
      <c r="A526" s="1045" t="s">
        <v>518</v>
      </c>
      <c r="B526" s="1046"/>
      <c r="C526" s="360">
        <f>SUM(C522:C525)</f>
        <v>176.49995000000001</v>
      </c>
      <c r="D526" s="361">
        <f>SUM(D522:D525)</f>
        <v>657704.28</v>
      </c>
      <c r="E526" s="424" t="s">
        <v>1</v>
      </c>
      <c r="F526" s="589"/>
      <c r="G526" s="424" t="s">
        <v>532</v>
      </c>
      <c r="H526" s="425"/>
      <c r="I526" s="425">
        <f>'TT entry &amp; transportation'!$M$170</f>
        <v>657704.28</v>
      </c>
      <c r="J526" s="133"/>
      <c r="K526" s="133"/>
      <c r="L526" s="133"/>
      <c r="M526" s="133"/>
    </row>
    <row r="527" spans="1:13" s="247" customFormat="1" ht="14.4" x14ac:dyDescent="0.3">
      <c r="A527" s="409" t="s">
        <v>596</v>
      </c>
      <c r="B527" s="448">
        <f>'TT entry &amp; transportation'!$B$266</f>
        <v>3726.3709260000001</v>
      </c>
      <c r="C527" s="150"/>
      <c r="D527" s="150"/>
      <c r="E527" s="427" t="s">
        <v>1</v>
      </c>
      <c r="F527" s="176"/>
      <c r="G527" s="427" t="s">
        <v>533</v>
      </c>
      <c r="H527" s="175"/>
      <c r="I527" s="430">
        <f>'Payment T&amp;T LAWSON'!$I$71</f>
        <v>657704.28</v>
      </c>
    </row>
    <row r="528" spans="1:13" s="247" customFormat="1" x14ac:dyDescent="0.25">
      <c r="A528" s="413"/>
      <c r="B528" s="150"/>
      <c r="C528" s="150"/>
      <c r="D528" s="150"/>
      <c r="E528" s="150"/>
      <c r="F528" s="406"/>
      <c r="G528" s="495"/>
      <c r="H528" s="495"/>
      <c r="I528" s="495"/>
    </row>
    <row r="529" spans="1:13" s="247" customFormat="1" ht="14.4" x14ac:dyDescent="0.3">
      <c r="A529" s="1049" t="s">
        <v>523</v>
      </c>
      <c r="B529" s="1050"/>
      <c r="C529" s="431">
        <f>'CTE TRANS'!$AL$72</f>
        <v>1690</v>
      </c>
      <c r="D529" s="150"/>
      <c r="E529" s="427" t="s">
        <v>1</v>
      </c>
      <c r="F529" s="597"/>
      <c r="G529" s="427" t="s">
        <v>533</v>
      </c>
      <c r="H529" s="427"/>
      <c r="I529" s="430">
        <f>'Payment T&amp;T LAWSON'!$K$71</f>
        <v>1690</v>
      </c>
      <c r="J529" s="182"/>
      <c r="K529" s="182"/>
      <c r="L529" s="182"/>
      <c r="M529" s="182"/>
    </row>
    <row r="530" spans="1:13" s="247" customFormat="1" x14ac:dyDescent="0.25">
      <c r="A530" s="413"/>
      <c r="B530" s="150"/>
      <c r="C530" s="150"/>
      <c r="D530" s="150"/>
      <c r="E530" s="150"/>
      <c r="F530" s="406"/>
      <c r="G530" s="495"/>
      <c r="H530" s="495"/>
      <c r="I530" s="495"/>
      <c r="J530" s="182"/>
      <c r="K530" s="182"/>
      <c r="L530" s="182"/>
      <c r="M530" s="182"/>
    </row>
    <row r="531" spans="1:13" s="247" customFormat="1" ht="14.4" x14ac:dyDescent="0.3">
      <c r="A531" s="1049" t="s">
        <v>524</v>
      </c>
      <c r="B531" s="1050"/>
      <c r="C531" s="371" t="s">
        <v>1</v>
      </c>
      <c r="D531" s="372" t="s">
        <v>1</v>
      </c>
      <c r="E531" s="150"/>
      <c r="F531" s="406"/>
      <c r="G531" s="495"/>
      <c r="H531" s="495"/>
      <c r="I531" s="495"/>
      <c r="J531" s="182"/>
      <c r="K531" s="182"/>
      <c r="L531" s="182"/>
      <c r="M531" s="182"/>
    </row>
    <row r="532" spans="1:13" s="247" customFormat="1" x14ac:dyDescent="0.25">
      <c r="A532" s="413"/>
      <c r="B532" s="150"/>
      <c r="C532" s="373">
        <f>D526</f>
        <v>657704.28</v>
      </c>
      <c r="D532" s="374" t="s">
        <v>167</v>
      </c>
      <c r="E532" s="150"/>
      <c r="F532" s="406"/>
      <c r="G532" s="495"/>
      <c r="H532" s="495"/>
      <c r="I532" s="495"/>
      <c r="J532" s="182"/>
      <c r="K532" s="182"/>
      <c r="L532" s="182"/>
      <c r="M532" s="182"/>
    </row>
    <row r="533" spans="1:13" s="247" customFormat="1" ht="14.4" x14ac:dyDescent="0.3">
      <c r="A533" s="414" t="s">
        <v>1</v>
      </c>
      <c r="B533" s="375"/>
      <c r="C533" s="386">
        <f>C529</f>
        <v>1690</v>
      </c>
      <c r="D533" s="377" t="s">
        <v>526</v>
      </c>
      <c r="E533" s="150"/>
      <c r="F533" s="406"/>
      <c r="G533" s="495"/>
      <c r="H533" s="495"/>
      <c r="I533" s="495"/>
      <c r="J533" s="182"/>
      <c r="K533" s="182"/>
      <c r="L533" s="182"/>
      <c r="M533" s="182"/>
    </row>
    <row r="534" spans="1:13" s="247" customFormat="1" ht="14.4" x14ac:dyDescent="0.3">
      <c r="A534" s="1045" t="s">
        <v>527</v>
      </c>
      <c r="B534" s="1046"/>
      <c r="C534" s="1047">
        <f>SUM(C532:C533)</f>
        <v>659394.28</v>
      </c>
      <c r="D534" s="1048"/>
      <c r="E534" s="427" t="s">
        <v>1</v>
      </c>
      <c r="F534" s="366"/>
      <c r="G534" s="427" t="s">
        <v>533</v>
      </c>
      <c r="H534" s="495"/>
      <c r="I534" s="425">
        <f>'Payment T&amp;T LAWSON'!$N$71</f>
        <v>659394.28</v>
      </c>
      <c r="J534" s="182"/>
      <c r="K534" s="182"/>
      <c r="L534" s="182"/>
      <c r="M534" s="182"/>
    </row>
    <row r="535" spans="1:13" s="247" customFormat="1" x14ac:dyDescent="0.25">
      <c r="A535" s="415"/>
      <c r="B535" s="372"/>
      <c r="C535" s="372"/>
      <c r="D535" s="372"/>
      <c r="E535" s="372"/>
      <c r="F535" s="416"/>
      <c r="G535" s="495"/>
      <c r="H535" s="495"/>
      <c r="I535" s="495"/>
    </row>
    <row r="536" spans="1:13" s="247" customFormat="1" x14ac:dyDescent="0.25">
      <c r="A536" s="150"/>
      <c r="B536" s="150"/>
      <c r="C536" s="150"/>
      <c r="D536" s="150"/>
      <c r="E536" s="150"/>
      <c r="F536" s="150"/>
      <c r="G536" s="495"/>
      <c r="H536" s="495"/>
      <c r="I536" s="495"/>
    </row>
    <row r="538" spans="1:13" s="247" customFormat="1" ht="15.6" x14ac:dyDescent="0.3">
      <c r="A538" s="1051" t="s">
        <v>562</v>
      </c>
      <c r="B538" s="1052"/>
      <c r="C538" s="1052"/>
      <c r="D538" s="1052"/>
      <c r="E538" s="1052"/>
      <c r="F538" s="1053"/>
      <c r="G538" s="602"/>
      <c r="H538" s="602"/>
      <c r="I538" s="495"/>
      <c r="J538" s="182"/>
      <c r="K538" s="182"/>
      <c r="L538" s="182"/>
      <c r="M538" s="182"/>
    </row>
    <row r="539" spans="1:13" s="247" customFormat="1" ht="15.6" x14ac:dyDescent="0.3">
      <c r="A539" s="1054" t="str">
        <f>$A$2</f>
        <v xml:space="preserve">School Year 2020-2021 </v>
      </c>
      <c r="B539" s="1055"/>
      <c r="C539" s="1055"/>
      <c r="D539" s="1055"/>
      <c r="E539" s="1055"/>
      <c r="F539" s="1056"/>
      <c r="G539" s="602"/>
      <c r="H539" s="602"/>
      <c r="I539" s="495"/>
      <c r="J539" s="182"/>
      <c r="K539" s="182"/>
      <c r="L539" s="182"/>
      <c r="M539" s="182"/>
    </row>
    <row r="540" spans="1:13" s="247" customFormat="1" x14ac:dyDescent="0.25">
      <c r="A540" s="1037" t="s">
        <v>513</v>
      </c>
      <c r="B540" s="1038"/>
      <c r="C540" s="150"/>
      <c r="D540" s="150"/>
      <c r="E540" s="150"/>
      <c r="F540" s="406"/>
      <c r="G540" s="495"/>
      <c r="H540" s="495"/>
      <c r="I540" s="495"/>
      <c r="J540" s="182"/>
      <c r="K540" s="182"/>
      <c r="L540" s="182"/>
      <c r="M540" s="182"/>
    </row>
    <row r="541" spans="1:13" s="247" customFormat="1" ht="14.4" x14ac:dyDescent="0.3">
      <c r="A541" s="407"/>
      <c r="B541" s="353"/>
      <c r="C541" s="354" t="s">
        <v>514</v>
      </c>
      <c r="D541" s="355" t="s">
        <v>515</v>
      </c>
      <c r="E541" s="392"/>
      <c r="F541" s="587"/>
      <c r="G541" s="388"/>
      <c r="H541" s="388"/>
      <c r="I541" s="495"/>
      <c r="J541" s="182"/>
      <c r="K541" s="182"/>
      <c r="L541" s="182"/>
      <c r="M541" s="182"/>
    </row>
    <row r="542" spans="1:13" s="247" customFormat="1" ht="14.4" x14ac:dyDescent="0.3">
      <c r="A542" s="407"/>
      <c r="B542" s="353"/>
      <c r="C542" s="356" t="s">
        <v>516</v>
      </c>
      <c r="D542" s="357" t="s">
        <v>517</v>
      </c>
      <c r="E542" s="393"/>
      <c r="F542" s="588"/>
      <c r="G542" s="390"/>
      <c r="H542" s="390"/>
      <c r="I542" s="495"/>
      <c r="J542" s="182"/>
      <c r="K542" s="182"/>
      <c r="L542" s="182"/>
      <c r="M542" s="182"/>
    </row>
    <row r="543" spans="1:13" s="487" customFormat="1" ht="14.4" x14ac:dyDescent="0.3">
      <c r="A543" s="130" t="s">
        <v>16</v>
      </c>
      <c r="B543" s="353"/>
      <c r="C543" s="609">
        <f>'TT entry &amp; transportation'!K171</f>
        <v>11</v>
      </c>
      <c r="D543" s="971">
        <f>'TT entry &amp; transportation'!L171+0.01</f>
        <v>40990.089999999997</v>
      </c>
      <c r="E543" s="393"/>
      <c r="F543" s="588"/>
      <c r="G543" s="722" t="s">
        <v>637</v>
      </c>
      <c r="H543" s="390"/>
      <c r="I543" s="495"/>
      <c r="J543" s="182"/>
      <c r="K543" s="182"/>
      <c r="L543" s="182"/>
      <c r="M543" s="182"/>
    </row>
    <row r="544" spans="1:13" s="247" customFormat="1" x14ac:dyDescent="0.25">
      <c r="A544" s="130" t="s">
        <v>486</v>
      </c>
      <c r="B544" s="150"/>
      <c r="C544" s="433">
        <f>'TT entry &amp; transportation'!$K$172</f>
        <v>2</v>
      </c>
      <c r="D544" s="436">
        <f>C544*$B$527</f>
        <v>7452.74</v>
      </c>
      <c r="E544" s="130" t="s">
        <v>1</v>
      </c>
      <c r="F544" s="406"/>
      <c r="G544" s="495"/>
      <c r="H544" s="495"/>
      <c r="I544" s="495"/>
    </row>
    <row r="545" spans="1:13" s="247" customFormat="1" x14ac:dyDescent="0.25">
      <c r="A545" s="130" t="s">
        <v>414</v>
      </c>
      <c r="B545" s="150"/>
      <c r="C545" s="433">
        <f>'TT entry &amp; transportation'!$K$173</f>
        <v>8</v>
      </c>
      <c r="D545" s="436">
        <f>C545*$B$527</f>
        <v>29810.97</v>
      </c>
      <c r="E545" s="130" t="s">
        <v>1</v>
      </c>
      <c r="F545" s="406"/>
      <c r="G545" s="495"/>
      <c r="H545" s="495"/>
      <c r="I545" s="495"/>
    </row>
    <row r="546" spans="1:13" s="247" customFormat="1" x14ac:dyDescent="0.25">
      <c r="A546" s="130" t="s">
        <v>639</v>
      </c>
      <c r="B546" s="150"/>
      <c r="C546" s="433">
        <f>'TT entry &amp; transportation'!$K$174</f>
        <v>3.5</v>
      </c>
      <c r="D546" s="437">
        <f>C546*$B$527-0.01</f>
        <v>13042.29</v>
      </c>
      <c r="E546" s="130" t="s">
        <v>1</v>
      </c>
      <c r="F546" s="406"/>
      <c r="G546" s="722" t="s">
        <v>898</v>
      </c>
      <c r="H546" s="495"/>
      <c r="I546" s="495"/>
    </row>
    <row r="547" spans="1:13" s="247" customFormat="1" ht="14.4" x14ac:dyDescent="0.3">
      <c r="A547" s="1045" t="s">
        <v>518</v>
      </c>
      <c r="B547" s="1046"/>
      <c r="C547" s="360">
        <f>SUM(C543:C546)</f>
        <v>24.5</v>
      </c>
      <c r="D547" s="361">
        <f>SUM(D543:D546)</f>
        <v>91296.09</v>
      </c>
      <c r="E547" s="424" t="s">
        <v>1</v>
      </c>
      <c r="F547" s="589"/>
      <c r="G547" s="424" t="s">
        <v>532</v>
      </c>
      <c r="H547" s="425"/>
      <c r="I547" s="425">
        <f>'TT entry &amp; transportation'!$M$176</f>
        <v>91296.09</v>
      </c>
      <c r="J547" s="133"/>
      <c r="K547" s="133"/>
      <c r="L547" s="133"/>
      <c r="M547" s="133"/>
    </row>
    <row r="548" spans="1:13" s="247" customFormat="1" ht="14.4" x14ac:dyDescent="0.3">
      <c r="A548" s="409" t="s">
        <v>596</v>
      </c>
      <c r="B548" s="448">
        <f>'TT entry &amp; transportation'!$B$266</f>
        <v>3726.3709260000001</v>
      </c>
      <c r="C548" s="150"/>
      <c r="D548" s="150"/>
      <c r="E548" s="427" t="s">
        <v>1</v>
      </c>
      <c r="F548" s="176"/>
      <c r="G548" s="427" t="s">
        <v>533</v>
      </c>
      <c r="H548" s="175"/>
      <c r="I548" s="430">
        <f>'Payment T&amp;T LAWSON'!$I$74</f>
        <v>91296.09</v>
      </c>
    </row>
    <row r="549" spans="1:13" s="247" customFormat="1" x14ac:dyDescent="0.25">
      <c r="A549" s="413"/>
      <c r="B549" s="150"/>
      <c r="C549" s="150"/>
      <c r="D549" s="150"/>
      <c r="E549" s="150"/>
      <c r="F549" s="406"/>
      <c r="G549" s="495"/>
      <c r="H549" s="495"/>
      <c r="I549" s="495"/>
    </row>
    <row r="550" spans="1:13" s="247" customFormat="1" ht="14.4" x14ac:dyDescent="0.3">
      <c r="A550" s="1049" t="s">
        <v>523</v>
      </c>
      <c r="B550" s="1050"/>
      <c r="C550" s="431">
        <f>'CTE TRANS'!$AL$75</f>
        <v>1879</v>
      </c>
      <c r="D550" s="150"/>
      <c r="E550" s="427" t="s">
        <v>1</v>
      </c>
      <c r="F550" s="597"/>
      <c r="G550" s="427" t="s">
        <v>533</v>
      </c>
      <c r="H550" s="427"/>
      <c r="I550" s="430">
        <f>'Payment T&amp;T LAWSON'!$K$74</f>
        <v>1879</v>
      </c>
      <c r="J550" s="182"/>
      <c r="K550" s="182"/>
      <c r="L550" s="182"/>
      <c r="M550" s="182"/>
    </row>
    <row r="551" spans="1:13" s="247" customFormat="1" x14ac:dyDescent="0.25">
      <c r="A551" s="413"/>
      <c r="B551" s="150"/>
      <c r="C551" s="150"/>
      <c r="D551" s="150"/>
      <c r="E551" s="150"/>
      <c r="F551" s="406"/>
      <c r="G551" s="495"/>
      <c r="H551" s="495"/>
      <c r="I551" s="495"/>
      <c r="J551" s="182"/>
      <c r="K551" s="182"/>
      <c r="L551" s="182"/>
      <c r="M551" s="182"/>
    </row>
    <row r="552" spans="1:13" s="247" customFormat="1" ht="14.4" x14ac:dyDescent="0.3">
      <c r="A552" s="1049" t="s">
        <v>524</v>
      </c>
      <c r="B552" s="1050"/>
      <c r="C552" s="371" t="s">
        <v>1</v>
      </c>
      <c r="D552" s="372" t="s">
        <v>1</v>
      </c>
      <c r="E552" s="150"/>
      <c r="F552" s="406"/>
      <c r="G552" s="495"/>
      <c r="H552" s="495"/>
      <c r="I552" s="495"/>
      <c r="J552" s="182"/>
      <c r="K552" s="182"/>
      <c r="L552" s="182"/>
      <c r="M552" s="182"/>
    </row>
    <row r="553" spans="1:13" s="247" customFormat="1" x14ac:dyDescent="0.25">
      <c r="A553" s="413"/>
      <c r="B553" s="150"/>
      <c r="C553" s="373">
        <f>D547</f>
        <v>91296.09</v>
      </c>
      <c r="D553" s="374" t="s">
        <v>167</v>
      </c>
      <c r="E553" s="150"/>
      <c r="F553" s="406"/>
      <c r="G553" s="495"/>
      <c r="H553" s="495"/>
      <c r="I553" s="495"/>
      <c r="J553" s="182"/>
      <c r="K553" s="182"/>
      <c r="L553" s="182"/>
      <c r="M553" s="182"/>
    </row>
    <row r="554" spans="1:13" s="247" customFormat="1" ht="14.4" x14ac:dyDescent="0.3">
      <c r="A554" s="414" t="s">
        <v>1</v>
      </c>
      <c r="B554" s="375"/>
      <c r="C554" s="386">
        <f>C550</f>
        <v>1879</v>
      </c>
      <c r="D554" s="377" t="s">
        <v>526</v>
      </c>
      <c r="E554" s="150"/>
      <c r="F554" s="406"/>
      <c r="G554" s="495"/>
      <c r="H554" s="495"/>
      <c r="I554" s="495"/>
      <c r="J554" s="182"/>
      <c r="K554" s="182"/>
      <c r="L554" s="182"/>
      <c r="M554" s="182"/>
    </row>
    <row r="555" spans="1:13" s="247" customFormat="1" ht="14.4" x14ac:dyDescent="0.3">
      <c r="A555" s="1045" t="s">
        <v>527</v>
      </c>
      <c r="B555" s="1046"/>
      <c r="C555" s="1047">
        <f>SUM(C553:C554)</f>
        <v>93175.09</v>
      </c>
      <c r="D555" s="1048"/>
      <c r="E555" s="427" t="s">
        <v>1</v>
      </c>
      <c r="F555" s="366"/>
      <c r="G555" s="427" t="s">
        <v>533</v>
      </c>
      <c r="H555" s="495"/>
      <c r="I555" s="425">
        <f>'Payment T&amp;T LAWSON'!$N$74</f>
        <v>93175.09</v>
      </c>
      <c r="J555" s="182"/>
      <c r="K555" s="182"/>
      <c r="L555" s="182"/>
      <c r="M555" s="182"/>
    </row>
    <row r="556" spans="1:13" s="247" customFormat="1" x14ac:dyDescent="0.25">
      <c r="A556" s="415"/>
      <c r="B556" s="372"/>
      <c r="C556" s="372"/>
      <c r="D556" s="372"/>
      <c r="E556" s="372"/>
      <c r="F556" s="416"/>
      <c r="G556" s="495"/>
      <c r="H556" s="495"/>
      <c r="I556" s="495"/>
    </row>
    <row r="557" spans="1:13" s="247" customFormat="1" x14ac:dyDescent="0.25">
      <c r="A557" s="150"/>
      <c r="B557" s="150"/>
      <c r="C557" s="150"/>
      <c r="D557" s="150"/>
      <c r="E557" s="150"/>
      <c r="F557" s="150"/>
      <c r="G557" s="495"/>
      <c r="H557" s="495"/>
      <c r="I557" s="495"/>
    </row>
    <row r="559" spans="1:13" s="247" customFormat="1" ht="15.6" x14ac:dyDescent="0.3">
      <c r="A559" s="1051" t="s">
        <v>563</v>
      </c>
      <c r="B559" s="1052"/>
      <c r="C559" s="1052"/>
      <c r="D559" s="1052"/>
      <c r="E559" s="1052"/>
      <c r="F559" s="1053"/>
      <c r="G559" s="602"/>
      <c r="H559" s="602"/>
      <c r="I559" s="495"/>
      <c r="J559" s="182"/>
      <c r="K559" s="182"/>
      <c r="L559" s="182"/>
      <c r="M559" s="182"/>
    </row>
    <row r="560" spans="1:13" s="247" customFormat="1" ht="15.6" x14ac:dyDescent="0.3">
      <c r="A560" s="1054" t="str">
        <f>$A$2</f>
        <v xml:space="preserve">School Year 2020-2021 </v>
      </c>
      <c r="B560" s="1055"/>
      <c r="C560" s="1055"/>
      <c r="D560" s="1055"/>
      <c r="E560" s="1055"/>
      <c r="F560" s="1056"/>
      <c r="G560" s="602"/>
      <c r="H560" s="602"/>
      <c r="I560" s="495"/>
      <c r="J560" s="182"/>
      <c r="K560" s="182"/>
      <c r="L560" s="182"/>
      <c r="M560" s="182"/>
    </row>
    <row r="561" spans="1:13" s="247" customFormat="1" x14ac:dyDescent="0.25">
      <c r="A561" s="1037" t="s">
        <v>513</v>
      </c>
      <c r="B561" s="1038"/>
      <c r="C561" s="150"/>
      <c r="D561" s="150"/>
      <c r="E561" s="150"/>
      <c r="F561" s="406"/>
      <c r="G561" s="495"/>
      <c r="H561" s="495"/>
      <c r="I561" s="495"/>
      <c r="J561" s="182"/>
      <c r="K561" s="182"/>
      <c r="L561" s="182"/>
      <c r="M561" s="182"/>
    </row>
    <row r="562" spans="1:13" s="247" customFormat="1" ht="14.4" x14ac:dyDescent="0.3">
      <c r="A562" s="407"/>
      <c r="B562" s="353"/>
      <c r="C562" s="354" t="s">
        <v>514</v>
      </c>
      <c r="D562" s="355" t="s">
        <v>515</v>
      </c>
      <c r="E562" s="392"/>
      <c r="F562" s="587"/>
      <c r="G562" s="388"/>
      <c r="H562" s="388"/>
      <c r="I562" s="495"/>
      <c r="J562" s="182"/>
      <c r="K562" s="182"/>
      <c r="L562" s="182"/>
      <c r="M562" s="182"/>
    </row>
    <row r="563" spans="1:13" s="247" customFormat="1" ht="14.4" x14ac:dyDescent="0.3">
      <c r="A563" s="407"/>
      <c r="B563" s="353"/>
      <c r="C563" s="356" t="s">
        <v>516</v>
      </c>
      <c r="D563" s="357" t="s">
        <v>517</v>
      </c>
      <c r="E563" s="393"/>
      <c r="F563" s="588"/>
      <c r="G563" s="390"/>
      <c r="H563" s="390"/>
      <c r="I563" s="495"/>
      <c r="J563" s="182"/>
      <c r="K563" s="182"/>
      <c r="L563" s="182"/>
      <c r="M563" s="182"/>
    </row>
    <row r="564" spans="1:13" s="247" customFormat="1" hidden="1" x14ac:dyDescent="0.25">
      <c r="A564" s="134" t="s">
        <v>429</v>
      </c>
      <c r="B564" s="150"/>
      <c r="C564" s="432">
        <f>'TT entry &amp; transportation'!$K$210</f>
        <v>0</v>
      </c>
      <c r="D564" s="435">
        <f>C564*$B$569</f>
        <v>0</v>
      </c>
      <c r="E564" s="150"/>
      <c r="F564" s="406"/>
      <c r="G564" s="495"/>
      <c r="H564" s="495"/>
      <c r="I564" s="495"/>
    </row>
    <row r="565" spans="1:13" s="247" customFormat="1" x14ac:dyDescent="0.25">
      <c r="A565" s="130" t="s">
        <v>40</v>
      </c>
      <c r="B565" s="150"/>
      <c r="C565" s="433">
        <f>'TT entry &amp; transportation'!$K$212</f>
        <v>12.5</v>
      </c>
      <c r="D565" s="436">
        <f>C565*$B$569</f>
        <v>46579.64</v>
      </c>
      <c r="E565" s="130" t="s">
        <v>1</v>
      </c>
      <c r="F565" s="406"/>
      <c r="G565" s="495"/>
      <c r="H565" s="495"/>
      <c r="I565" s="495"/>
    </row>
    <row r="566" spans="1:13" s="247" customFormat="1" x14ac:dyDescent="0.25">
      <c r="A566" s="134" t="s">
        <v>383</v>
      </c>
      <c r="B566" s="150"/>
      <c r="C566" s="433">
        <f>'TT entry &amp; transportation'!$K$213</f>
        <v>7.8333500000000003</v>
      </c>
      <c r="D566" s="436">
        <f>C566*$B$569+0.01</f>
        <v>29189.98</v>
      </c>
      <c r="E566" s="150"/>
      <c r="F566" s="406"/>
      <c r="G566" s="622" t="s">
        <v>644</v>
      </c>
      <c r="H566" s="495"/>
      <c r="I566" s="495"/>
    </row>
    <row r="567" spans="1:13" s="247" customFormat="1" x14ac:dyDescent="0.25">
      <c r="A567" s="134" t="s">
        <v>432</v>
      </c>
      <c r="B567" s="150"/>
      <c r="C567" s="433">
        <f>'TT entry &amp; transportation'!$K$214</f>
        <v>2</v>
      </c>
      <c r="D567" s="437">
        <f>C567*$B$569</f>
        <v>7452.74</v>
      </c>
      <c r="E567" s="130" t="s">
        <v>1</v>
      </c>
      <c r="F567" s="406"/>
      <c r="G567" s="495"/>
      <c r="H567" s="495"/>
      <c r="I567" s="495"/>
    </row>
    <row r="568" spans="1:13" s="247" customFormat="1" ht="14.4" x14ac:dyDescent="0.3">
      <c r="A568" s="1045" t="s">
        <v>518</v>
      </c>
      <c r="B568" s="1046"/>
      <c r="C568" s="360">
        <f>SUM(C564:C567)</f>
        <v>22.333349999999999</v>
      </c>
      <c r="D568" s="361">
        <f>SUM(D564:D567)</f>
        <v>83222.36</v>
      </c>
      <c r="E568" s="424" t="s">
        <v>1</v>
      </c>
      <c r="F568" s="589"/>
      <c r="G568" s="424" t="s">
        <v>532</v>
      </c>
      <c r="H568" s="425"/>
      <c r="I568" s="425">
        <f>'TT entry &amp; transportation'!$M$215</f>
        <v>83222.350000000006</v>
      </c>
      <c r="J568" s="133"/>
      <c r="K568" s="133"/>
      <c r="L568" s="133"/>
      <c r="M568" s="133"/>
    </row>
    <row r="569" spans="1:13" s="247" customFormat="1" ht="14.4" x14ac:dyDescent="0.3">
      <c r="A569" s="409" t="s">
        <v>596</v>
      </c>
      <c r="B569" s="448">
        <f>'TT entry &amp; transportation'!$B$266</f>
        <v>3726.3709260000001</v>
      </c>
      <c r="C569" s="150"/>
      <c r="D569" s="150"/>
      <c r="E569" s="427" t="s">
        <v>1</v>
      </c>
      <c r="F569" s="176"/>
      <c r="G569" s="427" t="s">
        <v>533</v>
      </c>
      <c r="H569" s="175"/>
      <c r="I569" s="430">
        <f>'Payment T&amp;T LAWSON'!$I$83</f>
        <v>83222.36</v>
      </c>
    </row>
    <row r="570" spans="1:13" s="247" customFormat="1" x14ac:dyDescent="0.25">
      <c r="A570" s="413"/>
      <c r="B570" s="150"/>
      <c r="C570" s="150"/>
      <c r="D570" s="150"/>
      <c r="E570" s="150"/>
      <c r="F570" s="406"/>
      <c r="G570" s="495"/>
      <c r="H570" s="495"/>
      <c r="I570" s="495"/>
    </row>
    <row r="571" spans="1:13" s="182" customFormat="1" ht="14.4" x14ac:dyDescent="0.3">
      <c r="A571" s="1057" t="s">
        <v>519</v>
      </c>
      <c r="B571" s="1058"/>
      <c r="C571" s="175"/>
      <c r="D571" s="175"/>
      <c r="E571" s="175"/>
      <c r="F571" s="176"/>
      <c r="G571" s="363"/>
      <c r="H571" s="595"/>
      <c r="I571" s="599"/>
      <c r="J571" s="133"/>
      <c r="K571" s="133"/>
      <c r="L571" s="133"/>
      <c r="M571" s="133"/>
    </row>
    <row r="572" spans="1:13" s="247" customFormat="1" ht="26.4" x14ac:dyDescent="0.25">
      <c r="A572" s="423"/>
      <c r="B572" s="364"/>
      <c r="C572" s="365" t="s">
        <v>520</v>
      </c>
      <c r="D572" s="606" t="s">
        <v>636</v>
      </c>
      <c r="E572" s="365" t="s">
        <v>521</v>
      </c>
      <c r="F572" s="368"/>
      <c r="G572" s="495"/>
      <c r="H572" s="497"/>
      <c r="I572" s="497"/>
      <c r="J572" s="182"/>
      <c r="K572" s="182"/>
      <c r="L572" s="182"/>
      <c r="M572" s="182"/>
    </row>
    <row r="573" spans="1:13" s="247" customFormat="1" x14ac:dyDescent="0.25">
      <c r="A573" s="134" t="s">
        <v>429</v>
      </c>
      <c r="B573" s="366"/>
      <c r="C573" s="398">
        <f>Differential!C26</f>
        <v>0</v>
      </c>
      <c r="D573" s="367">
        <f>Differential!L25</f>
        <v>230.6</v>
      </c>
      <c r="E573" s="401">
        <f>C573*D573</f>
        <v>0</v>
      </c>
      <c r="F573" s="596"/>
      <c r="G573" s="495"/>
      <c r="H573" s="497"/>
      <c r="I573" s="497"/>
      <c r="J573" s="182"/>
      <c r="K573" s="182"/>
      <c r="L573" s="182"/>
      <c r="M573" s="182"/>
    </row>
    <row r="574" spans="1:13" s="247" customFormat="1" x14ac:dyDescent="0.25">
      <c r="A574" s="130" t="s">
        <v>431</v>
      </c>
      <c r="B574" s="366"/>
      <c r="C574" s="399">
        <f>Differential!C28</f>
        <v>25</v>
      </c>
      <c r="D574" s="404">
        <f>Differential!L25</f>
        <v>230.6</v>
      </c>
      <c r="E574" s="402">
        <f>C574*D574</f>
        <v>5765</v>
      </c>
      <c r="F574" s="596"/>
      <c r="G574" s="495"/>
      <c r="H574" s="497"/>
      <c r="I574" s="497"/>
      <c r="J574" s="182"/>
      <c r="K574" s="182"/>
      <c r="L574" s="182"/>
      <c r="M574" s="182"/>
    </row>
    <row r="575" spans="1:13" s="247" customFormat="1" x14ac:dyDescent="0.25">
      <c r="A575" s="134" t="s">
        <v>383</v>
      </c>
      <c r="B575" s="366"/>
      <c r="C575" s="399">
        <f>Differential!C25</f>
        <v>15.666700000000001</v>
      </c>
      <c r="D575" s="404">
        <f>Differential!L25</f>
        <v>230.6</v>
      </c>
      <c r="E575" s="402">
        <f>C575*D575</f>
        <v>3612.74</v>
      </c>
      <c r="F575" s="596"/>
      <c r="G575" s="495"/>
      <c r="H575" s="497"/>
      <c r="I575" s="497"/>
      <c r="J575" s="182"/>
      <c r="K575" s="182"/>
      <c r="L575" s="182"/>
      <c r="M575" s="182"/>
    </row>
    <row r="576" spans="1:13" s="247" customFormat="1" x14ac:dyDescent="0.25">
      <c r="A576" s="134" t="s">
        <v>432</v>
      </c>
      <c r="B576" s="366"/>
      <c r="C576" s="399">
        <f>Differential!C29</f>
        <v>4</v>
      </c>
      <c r="D576" s="404">
        <f>Differential!L25</f>
        <v>230.6</v>
      </c>
      <c r="E576" s="402">
        <f>C576*D576</f>
        <v>922.4</v>
      </c>
      <c r="F576" s="596"/>
      <c r="G576" s="493" t="s">
        <v>1</v>
      </c>
      <c r="H576" s="497"/>
      <c r="I576" s="497"/>
      <c r="J576" s="182"/>
      <c r="K576" s="182"/>
      <c r="L576" s="182"/>
      <c r="M576" s="182"/>
    </row>
    <row r="577" spans="1:13" s="247" customFormat="1" ht="14.4" x14ac:dyDescent="0.3">
      <c r="A577" s="1045" t="s">
        <v>522</v>
      </c>
      <c r="B577" s="1046"/>
      <c r="C577" s="397">
        <f>SUM(C573:C576)</f>
        <v>44.666699999999999</v>
      </c>
      <c r="D577" s="369"/>
      <c r="E577" s="370">
        <f>SUM(E573:E576)</f>
        <v>10300.14</v>
      </c>
      <c r="F577" s="598" t="s">
        <v>1</v>
      </c>
      <c r="G577" s="424" t="s">
        <v>534</v>
      </c>
      <c r="H577" s="425"/>
      <c r="I577" s="600">
        <f>Differential!F24</f>
        <v>10300.14</v>
      </c>
      <c r="J577" s="182"/>
      <c r="K577" s="182"/>
      <c r="L577" s="182"/>
      <c r="M577" s="182"/>
    </row>
    <row r="578" spans="1:13" s="247" customFormat="1" x14ac:dyDescent="0.25">
      <c r="A578" s="413"/>
      <c r="B578" s="150"/>
      <c r="C578" s="150"/>
      <c r="D578" s="150"/>
      <c r="E578" s="150"/>
      <c r="F578" s="597" t="s">
        <v>1</v>
      </c>
      <c r="G578" s="427" t="s">
        <v>533</v>
      </c>
      <c r="H578" s="495"/>
      <c r="I578" s="425">
        <f>'Payment T&amp;T LAWSON'!$J$83</f>
        <v>10300.14</v>
      </c>
      <c r="J578" s="182"/>
      <c r="K578" s="182"/>
      <c r="L578" s="182"/>
      <c r="M578" s="182"/>
    </row>
    <row r="579" spans="1:13" s="247" customFormat="1" ht="14.4" x14ac:dyDescent="0.3">
      <c r="A579" s="1049" t="s">
        <v>523</v>
      </c>
      <c r="B579" s="1050"/>
      <c r="C579" s="431">
        <f>'CTE TRANS'!$AL$83</f>
        <v>10568.6</v>
      </c>
      <c r="D579" s="150"/>
      <c r="E579" s="427" t="s">
        <v>1</v>
      </c>
      <c r="F579" s="597" t="s">
        <v>1</v>
      </c>
      <c r="G579" s="427" t="s">
        <v>533</v>
      </c>
      <c r="H579" s="430"/>
      <c r="I579" s="430">
        <f>'Payment T&amp;T LAWSON'!$K$83</f>
        <v>10568.6</v>
      </c>
      <c r="J579" s="182"/>
      <c r="K579" s="182"/>
      <c r="L579" s="182"/>
      <c r="M579" s="182"/>
    </row>
    <row r="580" spans="1:13" s="247" customFormat="1" x14ac:dyDescent="0.25">
      <c r="A580" s="413"/>
      <c r="B580" s="150"/>
      <c r="C580" s="150"/>
      <c r="D580" s="150"/>
      <c r="E580" s="150"/>
      <c r="F580" s="406"/>
      <c r="G580" s="495"/>
      <c r="H580" s="495"/>
      <c r="I580" s="495"/>
      <c r="J580" s="182"/>
      <c r="K580" s="182"/>
      <c r="L580" s="182"/>
      <c r="M580" s="182"/>
    </row>
    <row r="581" spans="1:13" s="247" customFormat="1" ht="14.4" x14ac:dyDescent="0.3">
      <c r="A581" s="1049" t="s">
        <v>524</v>
      </c>
      <c r="B581" s="1050"/>
      <c r="C581" s="371" t="s">
        <v>1</v>
      </c>
      <c r="D581" s="372" t="s">
        <v>1</v>
      </c>
      <c r="E581" s="150"/>
      <c r="F581" s="406"/>
      <c r="G581" s="495"/>
      <c r="H581" s="495"/>
      <c r="I581" s="495"/>
      <c r="J581" s="182"/>
      <c r="K581" s="182"/>
      <c r="L581" s="182"/>
      <c r="M581" s="182"/>
    </row>
    <row r="582" spans="1:13" s="247" customFormat="1" x14ac:dyDescent="0.25">
      <c r="A582" s="413"/>
      <c r="B582" s="150"/>
      <c r="C582" s="373">
        <f>D568</f>
        <v>83222.36</v>
      </c>
      <c r="D582" s="374" t="s">
        <v>167</v>
      </c>
      <c r="E582" s="150"/>
      <c r="F582" s="406"/>
      <c r="G582" s="495"/>
      <c r="H582" s="495"/>
      <c r="I582" s="495"/>
      <c r="J582" s="182"/>
      <c r="K582" s="182"/>
      <c r="L582" s="182"/>
      <c r="M582" s="182"/>
    </row>
    <row r="583" spans="1:13" s="247" customFormat="1" ht="14.4" x14ac:dyDescent="0.3">
      <c r="A583" s="414" t="s">
        <v>1</v>
      </c>
      <c r="B583" s="375"/>
      <c r="C583" s="386">
        <f>E577</f>
        <v>10300.14</v>
      </c>
      <c r="D583" s="442" t="s">
        <v>525</v>
      </c>
      <c r="E583" s="150"/>
      <c r="F583" s="406"/>
      <c r="G583" s="495"/>
      <c r="H583" s="495"/>
      <c r="I583" s="495"/>
      <c r="J583" s="182"/>
      <c r="K583" s="182"/>
      <c r="L583" s="182"/>
      <c r="M583" s="182"/>
    </row>
    <row r="584" spans="1:13" s="247" customFormat="1" ht="14.4" x14ac:dyDescent="0.3">
      <c r="A584" s="414"/>
      <c r="B584" s="440"/>
      <c r="C584" s="386">
        <f>C579</f>
        <v>10568.6</v>
      </c>
      <c r="D584" s="377" t="s">
        <v>526</v>
      </c>
      <c r="E584" s="150"/>
      <c r="F584" s="406"/>
      <c r="G584" s="495"/>
      <c r="H584" s="495"/>
      <c r="I584" s="495"/>
      <c r="J584" s="182"/>
      <c r="K584" s="182"/>
      <c r="L584" s="182"/>
      <c r="M584" s="182"/>
    </row>
    <row r="585" spans="1:13" s="247" customFormat="1" ht="14.4" x14ac:dyDescent="0.3">
      <c r="A585" s="1045" t="s">
        <v>527</v>
      </c>
      <c r="B585" s="1046"/>
      <c r="C585" s="1047">
        <f>SUM(C582:C584)</f>
        <v>104091.1</v>
      </c>
      <c r="D585" s="1048"/>
      <c r="E585" s="427" t="s">
        <v>1</v>
      </c>
      <c r="F585" s="366"/>
      <c r="G585" s="427" t="s">
        <v>533</v>
      </c>
      <c r="H585" s="495"/>
      <c r="I585" s="425">
        <f>'Payment T&amp;T LAWSON'!N83</f>
        <v>104091.1</v>
      </c>
      <c r="J585" s="182"/>
      <c r="K585" s="182"/>
      <c r="L585" s="182"/>
      <c r="M585" s="182"/>
    </row>
    <row r="586" spans="1:13" s="247" customFormat="1" x14ac:dyDescent="0.25">
      <c r="A586" s="415"/>
      <c r="B586" s="372"/>
      <c r="C586" s="372"/>
      <c r="D586" s="372"/>
      <c r="E586" s="372"/>
      <c r="F586" s="416"/>
      <c r="G586" s="495"/>
      <c r="H586" s="495"/>
      <c r="I586" s="495"/>
    </row>
    <row r="587" spans="1:13" s="247" customFormat="1" x14ac:dyDescent="0.25">
      <c r="A587" s="150"/>
      <c r="B587" s="150"/>
      <c r="C587" s="150"/>
      <c r="D587" s="150"/>
      <c r="E587" s="150"/>
      <c r="F587" s="150"/>
      <c r="G587" s="495"/>
      <c r="H587" s="495"/>
      <c r="I587" s="495"/>
    </row>
    <row r="589" spans="1:13" s="247" customFormat="1" ht="15.6" x14ac:dyDescent="0.3">
      <c r="A589" s="1051" t="s">
        <v>564</v>
      </c>
      <c r="B589" s="1052"/>
      <c r="C589" s="1052"/>
      <c r="D589" s="1052"/>
      <c r="E589" s="1052"/>
      <c r="F589" s="1053"/>
      <c r="G589" s="602"/>
      <c r="H589" s="602"/>
      <c r="I589" s="495"/>
      <c r="J589" s="182"/>
      <c r="K589" s="182"/>
      <c r="L589" s="182"/>
      <c r="M589" s="182"/>
    </row>
    <row r="590" spans="1:13" s="247" customFormat="1" ht="15.6" x14ac:dyDescent="0.3">
      <c r="A590" s="1054" t="str">
        <f>$A$2</f>
        <v xml:space="preserve">School Year 2020-2021 </v>
      </c>
      <c r="B590" s="1055"/>
      <c r="C590" s="1055"/>
      <c r="D590" s="1055"/>
      <c r="E590" s="1055"/>
      <c r="F590" s="1056"/>
      <c r="G590" s="602"/>
      <c r="H590" s="602"/>
      <c r="I590" s="495"/>
      <c r="J590" s="182"/>
      <c r="K590" s="182"/>
      <c r="L590" s="182"/>
      <c r="M590" s="182"/>
    </row>
    <row r="591" spans="1:13" s="247" customFormat="1" x14ac:dyDescent="0.25">
      <c r="A591" s="1037" t="s">
        <v>513</v>
      </c>
      <c r="B591" s="1038"/>
      <c r="C591" s="150"/>
      <c r="D591" s="150"/>
      <c r="E591" s="150"/>
      <c r="F591" s="406"/>
      <c r="G591" s="495"/>
      <c r="H591" s="495"/>
      <c r="I591" s="495"/>
      <c r="J591" s="182"/>
      <c r="K591" s="182"/>
      <c r="L591" s="182"/>
      <c r="M591" s="182"/>
    </row>
    <row r="592" spans="1:13" s="247" customFormat="1" ht="14.4" x14ac:dyDescent="0.3">
      <c r="A592" s="407"/>
      <c r="B592" s="353"/>
      <c r="C592" s="354" t="s">
        <v>514</v>
      </c>
      <c r="D592" s="355" t="s">
        <v>515</v>
      </c>
      <c r="E592" s="392"/>
      <c r="F592" s="587"/>
      <c r="G592" s="388"/>
      <c r="H592" s="388"/>
      <c r="I592" s="495"/>
      <c r="J592" s="182"/>
      <c r="K592" s="182"/>
      <c r="L592" s="182"/>
      <c r="M592" s="182"/>
    </row>
    <row r="593" spans="1:13" s="247" customFormat="1" ht="14.4" x14ac:dyDescent="0.3">
      <c r="A593" s="407"/>
      <c r="B593" s="353"/>
      <c r="C593" s="356" t="s">
        <v>516</v>
      </c>
      <c r="D593" s="357" t="s">
        <v>517</v>
      </c>
      <c r="E593" s="393"/>
      <c r="F593" s="588"/>
      <c r="G593" s="390"/>
      <c r="H593" s="390"/>
      <c r="I593" s="495"/>
      <c r="J593" s="182"/>
      <c r="K593" s="182"/>
      <c r="L593" s="182"/>
      <c r="M593" s="182"/>
    </row>
    <row r="594" spans="1:13" s="247" customFormat="1" hidden="1" x14ac:dyDescent="0.25">
      <c r="A594" s="134" t="s">
        <v>603</v>
      </c>
      <c r="B594" s="150"/>
      <c r="C594" s="432">
        <f>'TT entry &amp; transportation'!K216</f>
        <v>0</v>
      </c>
      <c r="D594" s="435">
        <f>'TT entry &amp; transportation'!L216</f>
        <v>0</v>
      </c>
      <c r="E594" s="150"/>
      <c r="F594" s="406"/>
      <c r="G594" s="495"/>
      <c r="H594" s="495"/>
      <c r="I594" s="495"/>
    </row>
    <row r="595" spans="1:13" s="487" customFormat="1" hidden="1" x14ac:dyDescent="0.25">
      <c r="A595" s="134" t="s">
        <v>379</v>
      </c>
      <c r="B595" s="150"/>
      <c r="C595" s="433">
        <f>'TT entry &amp; transportation'!K217</f>
        <v>0</v>
      </c>
      <c r="D595" s="436">
        <f>'TT entry &amp; transportation'!L217</f>
        <v>0</v>
      </c>
      <c r="E595" s="150"/>
      <c r="F595" s="406"/>
      <c r="G595" s="495"/>
      <c r="H595" s="495"/>
      <c r="I595" s="495"/>
    </row>
    <row r="596" spans="1:13" s="487" customFormat="1" hidden="1" x14ac:dyDescent="0.25">
      <c r="A596" s="134" t="s">
        <v>378</v>
      </c>
      <c r="B596" s="150"/>
      <c r="C596" s="433">
        <f>'TT entry &amp; transportation'!K218</f>
        <v>0</v>
      </c>
      <c r="D596" s="436">
        <f>'TT entry &amp; transportation'!L218</f>
        <v>0</v>
      </c>
      <c r="E596" s="150"/>
      <c r="F596" s="406"/>
      <c r="G596" s="495"/>
      <c r="H596" s="495"/>
      <c r="I596" s="495"/>
    </row>
    <row r="597" spans="1:13" s="487" customFormat="1" x14ac:dyDescent="0.25">
      <c r="A597" s="134" t="s">
        <v>434</v>
      </c>
      <c r="B597" s="150"/>
      <c r="C597" s="433">
        <f>'TT entry &amp; transportation'!K219</f>
        <v>3</v>
      </c>
      <c r="D597" s="436">
        <f>'TT entry &amp; transportation'!L219+0.01</f>
        <v>11179.12</v>
      </c>
      <c r="E597" s="150"/>
      <c r="F597" s="406"/>
      <c r="G597" s="622" t="s">
        <v>644</v>
      </c>
      <c r="H597" s="623"/>
      <c r="I597" s="623"/>
      <c r="J597" s="624"/>
    </row>
    <row r="598" spans="1:13" s="487" customFormat="1" hidden="1" x14ac:dyDescent="0.25">
      <c r="A598" s="130" t="s">
        <v>153</v>
      </c>
      <c r="B598" s="150"/>
      <c r="C598" s="433">
        <f>'TT entry &amp; transportation'!K220</f>
        <v>0</v>
      </c>
      <c r="D598" s="436">
        <f>'TT entry &amp; transportation'!L220</f>
        <v>0</v>
      </c>
      <c r="E598" s="150"/>
      <c r="F598" s="406"/>
      <c r="G598" s="495"/>
      <c r="H598" s="495"/>
      <c r="I598" s="495"/>
    </row>
    <row r="599" spans="1:13" s="247" customFormat="1" x14ac:dyDescent="0.25">
      <c r="A599" s="134" t="s">
        <v>436</v>
      </c>
      <c r="B599" s="150"/>
      <c r="C599" s="434">
        <f>'TT entry &amp; transportation'!K221</f>
        <v>8.5</v>
      </c>
      <c r="D599" s="437">
        <f>'TT entry &amp; transportation'!L221+0.01</f>
        <v>31674.16</v>
      </c>
      <c r="E599" s="130" t="s">
        <v>1</v>
      </c>
      <c r="F599" s="406"/>
      <c r="G599" s="722" t="s">
        <v>905</v>
      </c>
      <c r="H599" s="495"/>
      <c r="I599" s="495"/>
    </row>
    <row r="600" spans="1:13" s="247" customFormat="1" ht="14.4" x14ac:dyDescent="0.3">
      <c r="A600" s="1045" t="s">
        <v>518</v>
      </c>
      <c r="B600" s="1046"/>
      <c r="C600" s="360">
        <f>SUM(C594:C599)</f>
        <v>11.5</v>
      </c>
      <c r="D600" s="361">
        <f>SUM(D594:D599)</f>
        <v>42853.279999999999</v>
      </c>
      <c r="E600" s="424" t="s">
        <v>1</v>
      </c>
      <c r="F600" s="589"/>
      <c r="G600" s="424" t="s">
        <v>532</v>
      </c>
      <c r="H600" s="425"/>
      <c r="I600" s="425">
        <f>'TT entry &amp; transportation'!$M$222</f>
        <v>42853.27</v>
      </c>
      <c r="J600" s="133"/>
      <c r="K600" s="133"/>
      <c r="L600" s="133"/>
      <c r="M600" s="133"/>
    </row>
    <row r="601" spans="1:13" s="247" customFormat="1" ht="14.4" x14ac:dyDescent="0.3">
      <c r="A601" s="409" t="s">
        <v>596</v>
      </c>
      <c r="B601" s="448">
        <f>'TT entry &amp; transportation'!$B$266</f>
        <v>3726.3709260000001</v>
      </c>
      <c r="C601" s="150"/>
      <c r="D601" s="150"/>
      <c r="E601" s="427" t="s">
        <v>1</v>
      </c>
      <c r="F601" s="176"/>
      <c r="G601" s="427" t="s">
        <v>533</v>
      </c>
      <c r="H601" s="175"/>
      <c r="I601" s="430">
        <f>'Payment T&amp;T LAWSON'!$I$87</f>
        <v>42853.279999999999</v>
      </c>
    </row>
    <row r="602" spans="1:13" s="247" customFormat="1" x14ac:dyDescent="0.25">
      <c r="A602" s="413"/>
      <c r="B602" s="150"/>
      <c r="C602" s="150"/>
      <c r="D602" s="150"/>
      <c r="E602" s="475" t="s">
        <v>1</v>
      </c>
      <c r="F602" s="406"/>
      <c r="G602" s="495"/>
      <c r="H602" s="495"/>
      <c r="I602" s="495"/>
    </row>
    <row r="603" spans="1:13" s="247" customFormat="1" ht="14.4" x14ac:dyDescent="0.3">
      <c r="A603" s="1049" t="s">
        <v>523</v>
      </c>
      <c r="B603" s="1050"/>
      <c r="C603" s="431">
        <f>'CTE TRANS'!$AL$88</f>
        <v>15889</v>
      </c>
      <c r="D603" s="150"/>
      <c r="E603" s="427" t="s">
        <v>1</v>
      </c>
      <c r="F603" s="597"/>
      <c r="G603" s="427" t="s">
        <v>533</v>
      </c>
      <c r="H603" s="427"/>
      <c r="I603" s="430">
        <f>'Payment T&amp;T LAWSON'!$K$87</f>
        <v>15889</v>
      </c>
      <c r="J603" s="182"/>
      <c r="K603" s="182"/>
      <c r="L603" s="182"/>
      <c r="M603" s="182"/>
    </row>
    <row r="604" spans="1:13" s="247" customFormat="1" x14ac:dyDescent="0.25">
      <c r="A604" s="413"/>
      <c r="B604" s="150"/>
      <c r="C604" s="150"/>
      <c r="D604" s="150"/>
      <c r="E604" s="150"/>
      <c r="F604" s="406"/>
      <c r="G604" s="495"/>
      <c r="H604" s="495"/>
      <c r="I604" s="495"/>
      <c r="J604" s="182"/>
      <c r="K604" s="182"/>
      <c r="L604" s="182"/>
      <c r="M604" s="182"/>
    </row>
    <row r="605" spans="1:13" s="247" customFormat="1" ht="14.4" x14ac:dyDescent="0.3">
      <c r="A605" s="1049" t="s">
        <v>524</v>
      </c>
      <c r="B605" s="1050"/>
      <c r="C605" s="371" t="s">
        <v>1</v>
      </c>
      <c r="D605" s="372" t="s">
        <v>1</v>
      </c>
      <c r="E605" s="150"/>
      <c r="F605" s="406"/>
      <c r="G605" s="495"/>
      <c r="H605" s="495"/>
      <c r="I605" s="495"/>
      <c r="J605" s="182"/>
      <c r="K605" s="182"/>
      <c r="L605" s="182"/>
      <c r="M605" s="182"/>
    </row>
    <row r="606" spans="1:13" s="247" customFormat="1" x14ac:dyDescent="0.25">
      <c r="A606" s="413"/>
      <c r="B606" s="150"/>
      <c r="C606" s="373">
        <f>D600</f>
        <v>42853.279999999999</v>
      </c>
      <c r="D606" s="374" t="s">
        <v>167</v>
      </c>
      <c r="E606" s="150"/>
      <c r="F606" s="406"/>
      <c r="G606" s="495"/>
      <c r="H606" s="495"/>
      <c r="I606" s="495"/>
      <c r="J606" s="182"/>
      <c r="K606" s="182"/>
      <c r="L606" s="182"/>
      <c r="M606" s="182"/>
    </row>
    <row r="607" spans="1:13" s="247" customFormat="1" ht="14.4" x14ac:dyDescent="0.3">
      <c r="A607" s="414" t="s">
        <v>1</v>
      </c>
      <c r="B607" s="375"/>
      <c r="C607" s="386">
        <f>C603</f>
        <v>15889</v>
      </c>
      <c r="D607" s="377" t="s">
        <v>526</v>
      </c>
      <c r="E607" s="150"/>
      <c r="F607" s="406"/>
      <c r="G607" s="495"/>
      <c r="H607" s="495"/>
      <c r="I607" s="495"/>
      <c r="J607" s="182"/>
      <c r="K607" s="182"/>
      <c r="L607" s="182"/>
      <c r="M607" s="182"/>
    </row>
    <row r="608" spans="1:13" s="247" customFormat="1" ht="14.4" x14ac:dyDescent="0.3">
      <c r="A608" s="1045" t="s">
        <v>527</v>
      </c>
      <c r="B608" s="1046"/>
      <c r="C608" s="1047">
        <f>SUM(C606:C607)</f>
        <v>58742.28</v>
      </c>
      <c r="D608" s="1048"/>
      <c r="E608" s="427" t="s">
        <v>1</v>
      </c>
      <c r="F608" s="366"/>
      <c r="G608" s="427" t="s">
        <v>533</v>
      </c>
      <c r="H608" s="495"/>
      <c r="I608" s="425">
        <f>'Payment T&amp;T LAWSON'!$N$87</f>
        <v>58742.28</v>
      </c>
      <c r="J608" s="182"/>
      <c r="K608" s="182"/>
      <c r="L608" s="182"/>
      <c r="M608" s="182"/>
    </row>
    <row r="609" spans="1:13" s="247" customFormat="1" x14ac:dyDescent="0.25">
      <c r="A609" s="415"/>
      <c r="B609" s="372"/>
      <c r="C609" s="372"/>
      <c r="D609" s="372"/>
      <c r="E609" s="372"/>
      <c r="F609" s="416"/>
      <c r="G609" s="495"/>
      <c r="H609" s="495"/>
      <c r="I609" s="495"/>
    </row>
    <row r="610" spans="1:13" s="247" customFormat="1" x14ac:dyDescent="0.25">
      <c r="A610" s="150"/>
      <c r="B610" s="150"/>
      <c r="C610" s="150"/>
      <c r="D610" s="150"/>
      <c r="E610" s="150"/>
      <c r="F610" s="150"/>
      <c r="G610" s="495"/>
      <c r="H610" s="495"/>
      <c r="I610" s="495"/>
    </row>
    <row r="612" spans="1:13" s="247" customFormat="1" ht="15.6" x14ac:dyDescent="0.3">
      <c r="A612" s="1051" t="s">
        <v>565</v>
      </c>
      <c r="B612" s="1052"/>
      <c r="C612" s="1052"/>
      <c r="D612" s="1052"/>
      <c r="E612" s="1052"/>
      <c r="F612" s="1053"/>
      <c r="G612" s="602"/>
      <c r="H612" s="602"/>
      <c r="I612" s="495" t="s">
        <v>572</v>
      </c>
      <c r="J612" s="182"/>
      <c r="K612" s="182"/>
      <c r="L612" s="182"/>
      <c r="M612" s="182"/>
    </row>
    <row r="613" spans="1:13" s="247" customFormat="1" ht="15.6" x14ac:dyDescent="0.3">
      <c r="A613" s="1054" t="str">
        <f>$A$2</f>
        <v xml:space="preserve">School Year 2020-2021 </v>
      </c>
      <c r="B613" s="1055"/>
      <c r="C613" s="1055"/>
      <c r="D613" s="1055"/>
      <c r="E613" s="1055"/>
      <c r="F613" s="1056"/>
      <c r="G613" s="602"/>
      <c r="H613" s="602"/>
      <c r="I613" s="603" t="s">
        <v>573</v>
      </c>
      <c r="J613" s="182"/>
      <c r="K613" s="182"/>
      <c r="L613" s="182"/>
      <c r="M613" s="182"/>
    </row>
    <row r="614" spans="1:13" s="247" customFormat="1" x14ac:dyDescent="0.25">
      <c r="A614" s="1037" t="s">
        <v>513</v>
      </c>
      <c r="B614" s="1038"/>
      <c r="C614" s="150"/>
      <c r="D614" s="150"/>
      <c r="E614" s="150"/>
      <c r="F614" s="406"/>
      <c r="G614" s="495"/>
      <c r="H614" s="495"/>
      <c r="I614" s="495" t="s">
        <v>574</v>
      </c>
      <c r="J614" s="182"/>
      <c r="K614" s="182"/>
      <c r="L614" s="182"/>
      <c r="M614" s="182"/>
    </row>
    <row r="615" spans="1:13" s="247" customFormat="1" ht="14.4" x14ac:dyDescent="0.3">
      <c r="A615" s="407"/>
      <c r="B615" s="353"/>
      <c r="C615" s="354" t="s">
        <v>514</v>
      </c>
      <c r="D615" s="355" t="s">
        <v>515</v>
      </c>
      <c r="E615" s="392"/>
      <c r="F615" s="587"/>
      <c r="G615" s="388"/>
      <c r="H615" s="388"/>
      <c r="I615" s="495"/>
      <c r="J615" s="182"/>
      <c r="K615" s="182"/>
      <c r="L615" s="182"/>
      <c r="M615" s="182"/>
    </row>
    <row r="616" spans="1:13" s="247" customFormat="1" ht="14.4" x14ac:dyDescent="0.3">
      <c r="A616" s="407"/>
      <c r="B616" s="353"/>
      <c r="C616" s="356" t="s">
        <v>516</v>
      </c>
      <c r="D616" s="357" t="s">
        <v>517</v>
      </c>
      <c r="E616" s="393"/>
      <c r="F616" s="588"/>
      <c r="G616" s="390"/>
      <c r="H616" s="390"/>
      <c r="I616" s="495"/>
      <c r="J616" s="182"/>
      <c r="K616" s="182"/>
      <c r="L616" s="182"/>
      <c r="M616" s="182"/>
    </row>
    <row r="617" spans="1:13" s="247" customFormat="1" x14ac:dyDescent="0.25">
      <c r="A617" s="134" t="s">
        <v>437</v>
      </c>
      <c r="B617" s="150"/>
      <c r="C617" s="432">
        <f>'TT entry &amp; transportation'!$K$223</f>
        <v>16</v>
      </c>
      <c r="D617" s="435">
        <f>C617*$B$621</f>
        <v>59621.93</v>
      </c>
      <c r="E617" s="150"/>
      <c r="F617" s="406"/>
      <c r="G617" s="495"/>
      <c r="H617" s="495"/>
      <c r="I617" s="495"/>
    </row>
    <row r="618" spans="1:13" s="247" customFormat="1" x14ac:dyDescent="0.25">
      <c r="A618" s="134" t="s">
        <v>438</v>
      </c>
      <c r="B618" s="150"/>
      <c r="C618" s="433">
        <f>'TT entry &amp; transportation'!$K$224</f>
        <v>10</v>
      </c>
      <c r="D618" s="436">
        <f>C618*$B$621</f>
        <v>37263.71</v>
      </c>
      <c r="E618" s="130" t="s">
        <v>1</v>
      </c>
      <c r="F618" s="406"/>
      <c r="G618" s="722" t="s">
        <v>1</v>
      </c>
      <c r="H618" s="495"/>
      <c r="I618" s="495"/>
    </row>
    <row r="619" spans="1:13" s="247" customFormat="1" x14ac:dyDescent="0.25">
      <c r="A619" s="134" t="s">
        <v>439</v>
      </c>
      <c r="B619" s="150"/>
      <c r="C619" s="433">
        <f>'TT entry &amp; transportation'!$K$225</f>
        <v>30.166650000000001</v>
      </c>
      <c r="D619" s="437">
        <f>C619*$B$621+0.01</f>
        <v>112412.14</v>
      </c>
      <c r="E619" s="130" t="s">
        <v>1</v>
      </c>
      <c r="F619" s="406"/>
      <c r="G619" s="622" t="s">
        <v>644</v>
      </c>
      <c r="H619" s="623"/>
      <c r="I619" s="623"/>
      <c r="J619" s="624"/>
    </row>
    <row r="620" spans="1:13" s="247" customFormat="1" ht="14.4" x14ac:dyDescent="0.3">
      <c r="A620" s="1045" t="s">
        <v>518</v>
      </c>
      <c r="B620" s="1046"/>
      <c r="C620" s="360">
        <f>SUM(C617:C619)</f>
        <v>56.166649999999997</v>
      </c>
      <c r="D620" s="361">
        <f>SUM(D617:D619)</f>
        <v>209297.78</v>
      </c>
      <c r="E620" s="424" t="s">
        <v>1</v>
      </c>
      <c r="F620" s="589"/>
      <c r="G620" s="424" t="s">
        <v>532</v>
      </c>
      <c r="H620" s="425"/>
      <c r="I620" s="425">
        <f>'TT entry &amp; transportation'!$M$226</f>
        <v>209297.77</v>
      </c>
      <c r="J620" s="133"/>
      <c r="K620" s="133"/>
      <c r="L620" s="133"/>
      <c r="M620" s="133"/>
    </row>
    <row r="621" spans="1:13" s="247" customFormat="1" ht="14.4" x14ac:dyDescent="0.3">
      <c r="A621" s="409" t="s">
        <v>596</v>
      </c>
      <c r="B621" s="448">
        <f>'TT entry &amp; transportation'!$B$266</f>
        <v>3726.3709260000001</v>
      </c>
      <c r="C621" s="150"/>
      <c r="D621" s="150"/>
      <c r="E621" s="427" t="s">
        <v>1</v>
      </c>
      <c r="F621" s="176"/>
      <c r="G621" s="427" t="s">
        <v>533</v>
      </c>
      <c r="H621" s="175"/>
      <c r="I621" s="430">
        <f>'Payment T&amp;T LAWSON'!$I$88</f>
        <v>209297.78</v>
      </c>
    </row>
    <row r="622" spans="1:13" s="247" customFormat="1" x14ac:dyDescent="0.25">
      <c r="A622" s="413"/>
      <c r="B622" s="150"/>
      <c r="C622" s="150"/>
      <c r="D622" s="150"/>
      <c r="E622" s="150"/>
      <c r="F622" s="406"/>
      <c r="G622" s="495"/>
      <c r="H622" s="495"/>
      <c r="I622" s="495"/>
    </row>
    <row r="623" spans="1:13" s="247" customFormat="1" ht="14.4" x14ac:dyDescent="0.3">
      <c r="A623" s="1049" t="s">
        <v>523</v>
      </c>
      <c r="B623" s="1050"/>
      <c r="C623" s="431">
        <f>'CTE TRANS'!$AL$89</f>
        <v>0</v>
      </c>
      <c r="D623" s="150"/>
      <c r="E623" s="427" t="s">
        <v>1</v>
      </c>
      <c r="F623" s="597"/>
      <c r="G623" s="427" t="s">
        <v>533</v>
      </c>
      <c r="H623" s="427"/>
      <c r="I623" s="430">
        <f>'Payment T&amp;T LAWSON'!$K$88</f>
        <v>0</v>
      </c>
      <c r="J623" s="182"/>
      <c r="K623" s="182"/>
      <c r="L623" s="182"/>
      <c r="M623" s="182"/>
    </row>
    <row r="624" spans="1:13" s="247" customFormat="1" x14ac:dyDescent="0.25">
      <c r="A624" s="413"/>
      <c r="B624" s="150"/>
      <c r="C624" s="150"/>
      <c r="D624" s="150"/>
      <c r="E624" s="150"/>
      <c r="F624" s="406"/>
      <c r="G624" s="495"/>
      <c r="H624" s="495"/>
      <c r="I624" s="495"/>
      <c r="J624" s="182"/>
      <c r="K624" s="182"/>
      <c r="L624" s="182"/>
      <c r="M624" s="182"/>
    </row>
    <row r="625" spans="1:13" s="247" customFormat="1" ht="14.4" x14ac:dyDescent="0.3">
      <c r="A625" s="1049" t="s">
        <v>524</v>
      </c>
      <c r="B625" s="1050"/>
      <c r="C625" s="371" t="s">
        <v>1</v>
      </c>
      <c r="D625" s="372" t="s">
        <v>1</v>
      </c>
      <c r="E625" s="150"/>
      <c r="F625" s="406"/>
      <c r="G625" s="495"/>
      <c r="H625" s="495"/>
      <c r="I625" s="495"/>
      <c r="J625" s="182"/>
      <c r="K625" s="182"/>
      <c r="L625" s="182"/>
      <c r="M625" s="182"/>
    </row>
    <row r="626" spans="1:13" s="247" customFormat="1" x14ac:dyDescent="0.25">
      <c r="A626" s="413"/>
      <c r="B626" s="150"/>
      <c r="C626" s="373">
        <f>D620</f>
        <v>209297.78</v>
      </c>
      <c r="D626" s="374" t="s">
        <v>167</v>
      </c>
      <c r="E626" s="150"/>
      <c r="F626" s="406"/>
      <c r="G626" s="495"/>
      <c r="H626" s="495"/>
      <c r="I626" s="495"/>
      <c r="J626" s="182"/>
      <c r="K626" s="182"/>
      <c r="L626" s="182"/>
      <c r="M626" s="182"/>
    </row>
    <row r="627" spans="1:13" s="247" customFormat="1" ht="14.4" x14ac:dyDescent="0.3">
      <c r="A627" s="414" t="s">
        <v>1</v>
      </c>
      <c r="B627" s="375"/>
      <c r="C627" s="386">
        <f>C623</f>
        <v>0</v>
      </c>
      <c r="D627" s="377" t="s">
        <v>526</v>
      </c>
      <c r="E627" s="150"/>
      <c r="F627" s="406"/>
      <c r="G627" s="495"/>
      <c r="H627" s="495"/>
      <c r="I627" s="495"/>
      <c r="J627" s="182"/>
      <c r="K627" s="182"/>
      <c r="L627" s="182"/>
      <c r="M627" s="182"/>
    </row>
    <row r="628" spans="1:13" s="247" customFormat="1" ht="14.4" x14ac:dyDescent="0.3">
      <c r="A628" s="1045" t="s">
        <v>527</v>
      </c>
      <c r="B628" s="1046"/>
      <c r="C628" s="1047">
        <f>SUM(C626:C627)</f>
        <v>209297.78</v>
      </c>
      <c r="D628" s="1048"/>
      <c r="E628" s="427" t="s">
        <v>1</v>
      </c>
      <c r="F628" s="366"/>
      <c r="G628" s="427" t="s">
        <v>533</v>
      </c>
      <c r="H628" s="495"/>
      <c r="I628" s="425">
        <f>'Payment T&amp;T LAWSON'!$N$88</f>
        <v>209297.78</v>
      </c>
      <c r="J628" s="182"/>
      <c r="K628" s="182"/>
      <c r="L628" s="182"/>
      <c r="M628" s="182"/>
    </row>
    <row r="629" spans="1:13" s="247" customFormat="1" x14ac:dyDescent="0.25">
      <c r="A629" s="415"/>
      <c r="B629" s="372"/>
      <c r="C629" s="372"/>
      <c r="D629" s="372"/>
      <c r="E629" s="372"/>
      <c r="F629" s="416"/>
      <c r="G629" s="495"/>
      <c r="H629" s="495"/>
      <c r="I629" s="495"/>
    </row>
  </sheetData>
  <mergeCells count="227">
    <mergeCell ref="G45:H45"/>
    <mergeCell ref="G58:H58"/>
    <mergeCell ref="G64:H64"/>
    <mergeCell ref="G113:H113"/>
    <mergeCell ref="A20:F20"/>
    <mergeCell ref="A3:B3"/>
    <mergeCell ref="A7:B7"/>
    <mergeCell ref="A10:B10"/>
    <mergeCell ref="A12:B12"/>
    <mergeCell ref="A15:B15"/>
    <mergeCell ref="C15:D15"/>
    <mergeCell ref="A74:B74"/>
    <mergeCell ref="A40:F40"/>
    <mergeCell ref="A41:F41"/>
    <mergeCell ref="A100:F100"/>
    <mergeCell ref="A101:F101"/>
    <mergeCell ref="A1:F1"/>
    <mergeCell ref="A2:F2"/>
    <mergeCell ref="A19:F19"/>
    <mergeCell ref="A93:B93"/>
    <mergeCell ref="A96:B96"/>
    <mergeCell ref="C96:D96"/>
    <mergeCell ref="A80:B80"/>
    <mergeCell ref="A88:B88"/>
    <mergeCell ref="A91:B91"/>
    <mergeCell ref="A78:F78"/>
    <mergeCell ref="A79:F79"/>
    <mergeCell ref="A21:B21"/>
    <mergeCell ref="A28:B28"/>
    <mergeCell ref="A31:B31"/>
    <mergeCell ref="A33:B33"/>
    <mergeCell ref="A36:B36"/>
    <mergeCell ref="C36:D36"/>
    <mergeCell ref="C74:D74"/>
    <mergeCell ref="A42:B42"/>
    <mergeCell ref="A53:B53"/>
    <mergeCell ref="A56:B56"/>
    <mergeCell ref="A66:B66"/>
    <mergeCell ref="A68:B68"/>
    <mergeCell ref="A70:B70"/>
    <mergeCell ref="A129:B129"/>
    <mergeCell ref="A120:B120"/>
    <mergeCell ref="A123:B123"/>
    <mergeCell ref="C123:D123"/>
    <mergeCell ref="A127:F127"/>
    <mergeCell ref="A128:F128"/>
    <mergeCell ref="A102:B102"/>
    <mergeCell ref="A115:B115"/>
    <mergeCell ref="A118:B118"/>
    <mergeCell ref="A156:F156"/>
    <mergeCell ref="A157:F157"/>
    <mergeCell ref="A185:F185"/>
    <mergeCell ref="A186:F186"/>
    <mergeCell ref="A144:B144"/>
    <mergeCell ref="A147:B147"/>
    <mergeCell ref="A149:B149"/>
    <mergeCell ref="A152:B152"/>
    <mergeCell ref="C152:D152"/>
    <mergeCell ref="A178:B178"/>
    <mergeCell ref="A181:B181"/>
    <mergeCell ref="C181:D181"/>
    <mergeCell ref="A158:B158"/>
    <mergeCell ref="A171:B171"/>
    <mergeCell ref="A174:B174"/>
    <mergeCell ref="A175:B175"/>
    <mergeCell ref="A176:B176"/>
    <mergeCell ref="C176:D176"/>
    <mergeCell ref="C199:D199"/>
    <mergeCell ref="A205:B205"/>
    <mergeCell ref="A213:B213"/>
    <mergeCell ref="A187:B187"/>
    <mergeCell ref="A191:B191"/>
    <mergeCell ref="A194:B194"/>
    <mergeCell ref="A196:B196"/>
    <mergeCell ref="A199:B199"/>
    <mergeCell ref="A203:F203"/>
    <mergeCell ref="A204:F204"/>
    <mergeCell ref="A227:B227"/>
    <mergeCell ref="A233:B233"/>
    <mergeCell ref="A236:B236"/>
    <mergeCell ref="A238:B238"/>
    <mergeCell ref="A216:B216"/>
    <mergeCell ref="A218:B218"/>
    <mergeCell ref="A221:B221"/>
    <mergeCell ref="C221:D221"/>
    <mergeCell ref="A225:F225"/>
    <mergeCell ref="A226:F226"/>
    <mergeCell ref="A256:B256"/>
    <mergeCell ref="A259:B259"/>
    <mergeCell ref="A267:B267"/>
    <mergeCell ref="A270:B270"/>
    <mergeCell ref="A272:B272"/>
    <mergeCell ref="A276:B276"/>
    <mergeCell ref="C276:D276"/>
    <mergeCell ref="A241:B241"/>
    <mergeCell ref="C241:D241"/>
    <mergeCell ref="A247:B247"/>
    <mergeCell ref="A245:F245"/>
    <mergeCell ref="A246:F246"/>
    <mergeCell ref="A293:B293"/>
    <mergeCell ref="A304:B304"/>
    <mergeCell ref="A308:B308"/>
    <mergeCell ref="C308:D308"/>
    <mergeCell ref="A282:B282"/>
    <mergeCell ref="A290:B290"/>
    <mergeCell ref="A300:B300"/>
    <mergeCell ref="A280:F280"/>
    <mergeCell ref="A281:F281"/>
    <mergeCell ref="A364:F364"/>
    <mergeCell ref="C330:D330"/>
    <mergeCell ref="A314:B314"/>
    <mergeCell ref="A322:B322"/>
    <mergeCell ref="A325:B325"/>
    <mergeCell ref="A327:B327"/>
    <mergeCell ref="A330:B330"/>
    <mergeCell ref="A302:B302"/>
    <mergeCell ref="A312:F312"/>
    <mergeCell ref="A313:F313"/>
    <mergeCell ref="A356:B356"/>
    <mergeCell ref="A359:B359"/>
    <mergeCell ref="C359:D359"/>
    <mergeCell ref="A336:B336"/>
    <mergeCell ref="A351:B351"/>
    <mergeCell ref="A354:B354"/>
    <mergeCell ref="A334:F334"/>
    <mergeCell ref="A335:F335"/>
    <mergeCell ref="A363:F363"/>
    <mergeCell ref="A394:B394"/>
    <mergeCell ref="A404:B404"/>
    <mergeCell ref="A365:B365"/>
    <mergeCell ref="A380:B380"/>
    <mergeCell ref="A383:B383"/>
    <mergeCell ref="A385:B385"/>
    <mergeCell ref="C440:D440"/>
    <mergeCell ref="A413:B413"/>
    <mergeCell ref="A415:B415"/>
    <mergeCell ref="A419:B419"/>
    <mergeCell ref="C419:D419"/>
    <mergeCell ref="A407:B407"/>
    <mergeCell ref="A411:B411"/>
    <mergeCell ref="C408:D408"/>
    <mergeCell ref="C409:D409"/>
    <mergeCell ref="C410:D410"/>
    <mergeCell ref="C411:D411"/>
    <mergeCell ref="A388:B388"/>
    <mergeCell ref="C388:D388"/>
    <mergeCell ref="A392:F392"/>
    <mergeCell ref="A393:F393"/>
    <mergeCell ref="A423:F423"/>
    <mergeCell ref="A424:F424"/>
    <mergeCell ref="A425:B425"/>
    <mergeCell ref="A498:B498"/>
    <mergeCell ref="A480:B480"/>
    <mergeCell ref="A484:B484"/>
    <mergeCell ref="A487:B487"/>
    <mergeCell ref="A489:B489"/>
    <mergeCell ref="A468:B468"/>
    <mergeCell ref="A470:B470"/>
    <mergeCell ref="A474:B474"/>
    <mergeCell ref="C474:D474"/>
    <mergeCell ref="A497:F497"/>
    <mergeCell ref="A492:B492"/>
    <mergeCell ref="C492:D492"/>
    <mergeCell ref="A478:F478"/>
    <mergeCell ref="A479:F479"/>
    <mergeCell ref="A496:F496"/>
    <mergeCell ref="A519:B519"/>
    <mergeCell ref="A526:B526"/>
    <mergeCell ref="A529:B529"/>
    <mergeCell ref="A505:B505"/>
    <mergeCell ref="A508:B508"/>
    <mergeCell ref="A510:B510"/>
    <mergeCell ref="A513:B513"/>
    <mergeCell ref="C513:D513"/>
    <mergeCell ref="A517:F517"/>
    <mergeCell ref="A518:F518"/>
    <mergeCell ref="A559:F559"/>
    <mergeCell ref="A560:F560"/>
    <mergeCell ref="C555:D555"/>
    <mergeCell ref="A540:B540"/>
    <mergeCell ref="A547:B547"/>
    <mergeCell ref="A550:B550"/>
    <mergeCell ref="A552:B552"/>
    <mergeCell ref="A555:B555"/>
    <mergeCell ref="A531:B531"/>
    <mergeCell ref="A534:B534"/>
    <mergeCell ref="C534:D534"/>
    <mergeCell ref="A538:F538"/>
    <mergeCell ref="A539:F539"/>
    <mergeCell ref="A589:F589"/>
    <mergeCell ref="A590:F590"/>
    <mergeCell ref="A612:F612"/>
    <mergeCell ref="A613:F613"/>
    <mergeCell ref="A561:B561"/>
    <mergeCell ref="A568:B568"/>
    <mergeCell ref="A579:B579"/>
    <mergeCell ref="A571:B571"/>
    <mergeCell ref="A577:B577"/>
    <mergeCell ref="A591:B591"/>
    <mergeCell ref="A600:B600"/>
    <mergeCell ref="A581:B581"/>
    <mergeCell ref="A585:B585"/>
    <mergeCell ref="C585:D585"/>
    <mergeCell ref="A625:B625"/>
    <mergeCell ref="A628:B628"/>
    <mergeCell ref="C628:D628"/>
    <mergeCell ref="A614:B614"/>
    <mergeCell ref="A620:B620"/>
    <mergeCell ref="A623:B623"/>
    <mergeCell ref="A603:B603"/>
    <mergeCell ref="A605:B605"/>
    <mergeCell ref="A608:B608"/>
    <mergeCell ref="C608:D608"/>
    <mergeCell ref="A462:B462"/>
    <mergeCell ref="C463:D463"/>
    <mergeCell ref="C464:D464"/>
    <mergeCell ref="C465:D465"/>
    <mergeCell ref="A466:B466"/>
    <mergeCell ref="C466:D466"/>
    <mergeCell ref="A432:B432"/>
    <mergeCell ref="A435:B435"/>
    <mergeCell ref="A437:B437"/>
    <mergeCell ref="A440:B440"/>
    <mergeCell ref="A444:F444"/>
    <mergeCell ref="A445:F445"/>
    <mergeCell ref="A446:B446"/>
    <mergeCell ref="A459:B459"/>
  </mergeCells>
  <conditionalFormatting sqref="I7">
    <cfRule type="cellIs" dxfId="1" priority="2" operator="notEqual">
      <formula>$D$7</formula>
    </cfRule>
  </conditionalFormatting>
  <conditionalFormatting sqref="I8">
    <cfRule type="cellIs" dxfId="0" priority="1" operator="notEqual">
      <formula>$D$7</formula>
    </cfRule>
  </conditionalFormatting>
  <hyperlinks>
    <hyperlink ref="I613" r:id="rId1" xr:uid="{00000000-0004-0000-2700-000000000000}"/>
    <hyperlink ref="I204" r:id="rId2" xr:uid="{00000000-0004-0000-2700-000001000000}"/>
    <hyperlink ref="I43" r:id="rId3" display="lbalanovich@sau8.org" xr:uid="{00000000-0004-0000-2700-000002000000}"/>
    <hyperlink ref="I41" r:id="rId4" xr:uid="{00000000-0004-0000-2700-000003000000}"/>
  </hyperlinks>
  <pageMargins left="0.7" right="0.7" top="0.75" bottom="0.75" header="0.3" footer="0.3"/>
  <pageSetup scale="84" orientation="landscape" r:id="rId5"/>
  <rowBreaks count="24" manualBreakCount="24">
    <brk id="17" max="5" man="1"/>
    <brk id="38" max="5" man="1"/>
    <brk id="76" max="5" man="1"/>
    <brk id="98" max="5" man="1"/>
    <brk id="125" max="5" man="1"/>
    <brk id="154" max="5" man="1"/>
    <brk id="183" max="5" man="1"/>
    <brk id="201" max="5" man="1"/>
    <brk id="223" max="5" man="1"/>
    <brk id="243" max="5" man="1"/>
    <brk id="278" max="5" man="1"/>
    <brk id="310" max="5" man="1"/>
    <brk id="332" max="5" man="1"/>
    <brk id="361" max="5" man="1"/>
    <brk id="390" max="5" man="1"/>
    <brk id="421" max="5" man="1"/>
    <brk id="442" max="5" man="1"/>
    <brk id="476" max="5" man="1"/>
    <brk id="494" max="5" man="1"/>
    <brk id="515" max="5" man="1"/>
    <brk id="536" max="5" man="1"/>
    <brk id="557" max="5" man="1"/>
    <brk id="587" max="5" man="1"/>
    <brk id="61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240"/>
  <sheetViews>
    <sheetView topLeftCell="A211" zoomScaleNormal="100" workbookViewId="0">
      <selection activeCell="A225" sqref="A225:E240"/>
    </sheetView>
  </sheetViews>
  <sheetFormatPr defaultRowHeight="13.2" x14ac:dyDescent="0.25"/>
  <cols>
    <col min="1" max="1" width="30.6640625" customWidth="1"/>
    <col min="2" max="2" width="14.44140625" bestFit="1" customWidth="1"/>
    <col min="3" max="3" width="13.88671875" bestFit="1" customWidth="1"/>
    <col min="4" max="4" width="15.44140625" bestFit="1" customWidth="1"/>
    <col min="5" max="5" width="22.6640625" bestFit="1" customWidth="1"/>
    <col min="6" max="6" width="9.109375" style="150"/>
    <col min="7" max="8" width="12.33203125" style="150" bestFit="1" customWidth="1"/>
  </cols>
  <sheetData>
    <row r="1" spans="1:13" s="247" customFormat="1" ht="15.6" x14ac:dyDescent="0.3">
      <c r="A1" s="1051" t="s">
        <v>650</v>
      </c>
      <c r="B1" s="1052"/>
      <c r="C1" s="1052"/>
      <c r="D1" s="1052"/>
      <c r="E1" s="1053"/>
      <c r="F1" s="586"/>
      <c r="G1" s="586"/>
      <c r="H1" s="586"/>
      <c r="J1" s="182"/>
      <c r="K1" s="182"/>
      <c r="L1" s="182"/>
      <c r="M1" s="182"/>
    </row>
    <row r="2" spans="1:13" s="247" customFormat="1" ht="15.6" x14ac:dyDescent="0.3">
      <c r="A2" s="1054" t="str">
        <f>'Payment Breakdowns'!$A$2:$F$2</f>
        <v xml:space="preserve">School Year 2020-2021 </v>
      </c>
      <c r="B2" s="1055"/>
      <c r="C2" s="1055"/>
      <c r="D2" s="1055"/>
      <c r="E2" s="1056"/>
      <c r="F2" s="586"/>
      <c r="G2" s="586"/>
      <c r="H2" s="586"/>
      <c r="I2" s="247" t="s">
        <v>569</v>
      </c>
      <c r="J2" s="182"/>
      <c r="K2" s="182"/>
      <c r="L2" s="182"/>
      <c r="M2" s="182"/>
    </row>
    <row r="3" spans="1:13" s="247" customFormat="1" x14ac:dyDescent="0.25">
      <c r="A3" s="1037" t="s">
        <v>513</v>
      </c>
      <c r="B3" s="1038"/>
      <c r="C3" s="150"/>
      <c r="D3" s="150"/>
      <c r="E3" s="406"/>
      <c r="F3" s="150"/>
      <c r="G3" s="150"/>
      <c r="H3" s="150"/>
      <c r="I3" s="459" t="s">
        <v>568</v>
      </c>
      <c r="J3" s="182"/>
      <c r="K3" s="182"/>
      <c r="L3" s="182"/>
      <c r="M3" s="182"/>
    </row>
    <row r="4" spans="1:13" s="247" customFormat="1" ht="14.4" x14ac:dyDescent="0.3">
      <c r="A4" s="407"/>
      <c r="B4" s="353"/>
      <c r="C4" s="354" t="s">
        <v>514</v>
      </c>
      <c r="D4" s="355" t="s">
        <v>515</v>
      </c>
      <c r="E4" s="625"/>
      <c r="F4" s="396"/>
      <c r="G4" s="388"/>
      <c r="H4" s="388"/>
      <c r="I4" s="247" t="s">
        <v>570</v>
      </c>
      <c r="J4" s="182"/>
      <c r="K4" s="182"/>
      <c r="L4" s="182"/>
      <c r="M4" s="182"/>
    </row>
    <row r="5" spans="1:13" s="247" customFormat="1" ht="14.4" x14ac:dyDescent="0.3">
      <c r="A5" s="407"/>
      <c r="B5" s="353"/>
      <c r="C5" s="356" t="s">
        <v>516</v>
      </c>
      <c r="D5" s="357" t="s">
        <v>517</v>
      </c>
      <c r="E5" s="626"/>
      <c r="F5" s="389"/>
      <c r="G5" s="390"/>
      <c r="H5" s="390"/>
      <c r="J5" s="182"/>
      <c r="K5" s="182"/>
      <c r="L5" s="182"/>
      <c r="M5" s="182"/>
    </row>
    <row r="6" spans="1:13" s="247" customFormat="1" ht="14.4" x14ac:dyDescent="0.3">
      <c r="A6" s="130" t="s">
        <v>4</v>
      </c>
      <c r="B6" s="475" t="s">
        <v>242</v>
      </c>
      <c r="C6" s="384">
        <f>'TT entry &amp; transportation'!$K$178</f>
        <v>3.5</v>
      </c>
      <c r="D6" s="358">
        <f>C6*$B$8</f>
        <v>13042.3</v>
      </c>
      <c r="E6" s="627"/>
      <c r="F6" s="175"/>
      <c r="G6" s="391"/>
      <c r="H6" s="593"/>
      <c r="I6" s="268"/>
      <c r="J6" s="133"/>
      <c r="K6" s="133"/>
      <c r="L6" s="133"/>
      <c r="M6" s="133"/>
    </row>
    <row r="7" spans="1:13" s="247" customFormat="1" ht="14.4" x14ac:dyDescent="0.3">
      <c r="A7" s="1045" t="s">
        <v>518</v>
      </c>
      <c r="B7" s="1046"/>
      <c r="C7" s="360">
        <f>SUM(C6:C6)</f>
        <v>3.5</v>
      </c>
      <c r="D7" s="361">
        <f>SUM(D6:D6)</f>
        <v>13042.3</v>
      </c>
      <c r="E7" s="598" t="s">
        <v>1</v>
      </c>
      <c r="F7" s="424" t="s">
        <v>532</v>
      </c>
      <c r="G7" s="425"/>
      <c r="H7" s="425">
        <f>'TT entry &amp; transportation'!$L$178</f>
        <v>13042.3</v>
      </c>
      <c r="I7" s="362" t="s">
        <v>1</v>
      </c>
      <c r="J7" s="133"/>
      <c r="K7" s="133"/>
      <c r="L7" s="133"/>
      <c r="M7" s="133"/>
    </row>
    <row r="8" spans="1:13" s="182" customFormat="1" x14ac:dyDescent="0.25">
      <c r="A8" s="409" t="s">
        <v>596</v>
      </c>
      <c r="B8" s="448">
        <f>'TT entry &amp; transportation'!$B$266</f>
        <v>3726.3709260000001</v>
      </c>
      <c r="C8" s="385" t="s">
        <v>1</v>
      </c>
      <c r="D8" s="175"/>
      <c r="E8" s="597" t="s">
        <v>1</v>
      </c>
      <c r="F8" s="427" t="s">
        <v>533</v>
      </c>
      <c r="G8" s="175"/>
      <c r="H8" s="428">
        <f>'Payment T&amp;T LAWSON'!$I$2</f>
        <v>13042.3</v>
      </c>
      <c r="I8" s="362"/>
      <c r="J8" s="133"/>
      <c r="K8" s="133"/>
      <c r="L8" s="133"/>
      <c r="M8" s="133"/>
    </row>
    <row r="9" spans="1:13" s="182" customFormat="1" ht="14.4" x14ac:dyDescent="0.3">
      <c r="A9" s="410"/>
      <c r="B9" s="411"/>
      <c r="C9" s="175"/>
      <c r="D9" s="175"/>
      <c r="E9" s="176"/>
      <c r="F9" s="175"/>
      <c r="G9" s="175"/>
      <c r="H9" s="363"/>
      <c r="I9" s="362"/>
      <c r="J9" s="133"/>
      <c r="K9" s="133"/>
      <c r="L9" s="133"/>
      <c r="M9" s="133"/>
    </row>
    <row r="10" spans="1:13" s="247" customFormat="1" ht="14.4" x14ac:dyDescent="0.3">
      <c r="A10" s="1049" t="s">
        <v>523</v>
      </c>
      <c r="B10" s="1050"/>
      <c r="C10" s="412">
        <f>'CTE TRANS'!$AL$2</f>
        <v>1449.76</v>
      </c>
      <c r="D10" s="150"/>
      <c r="E10" s="597" t="s">
        <v>1</v>
      </c>
      <c r="F10" s="427" t="s">
        <v>533</v>
      </c>
      <c r="G10" s="150"/>
      <c r="H10" s="429">
        <f>'Payment T&amp;T LAWSON'!$K$2</f>
        <v>1449.76</v>
      </c>
      <c r="J10" s="182"/>
      <c r="K10" s="182"/>
      <c r="L10" s="182"/>
      <c r="M10" s="182"/>
    </row>
    <row r="11" spans="1:13" s="247" customFormat="1" x14ac:dyDescent="0.25">
      <c r="A11" s="413"/>
      <c r="B11" s="150"/>
      <c r="C11" s="150"/>
      <c r="D11" s="150"/>
      <c r="E11" s="406"/>
      <c r="F11" s="150"/>
      <c r="G11" s="150"/>
      <c r="H11" s="150"/>
      <c r="J11" s="182"/>
      <c r="K11" s="182"/>
      <c r="L11" s="182"/>
      <c r="M11" s="182"/>
    </row>
    <row r="12" spans="1:13" s="247" customFormat="1" ht="14.4" x14ac:dyDescent="0.3">
      <c r="A12" s="1049" t="s">
        <v>524</v>
      </c>
      <c r="B12" s="1050"/>
      <c r="C12" s="371" t="s">
        <v>1</v>
      </c>
      <c r="D12" s="372" t="s">
        <v>1</v>
      </c>
      <c r="E12" s="406"/>
      <c r="F12" s="150"/>
      <c r="G12" s="150"/>
      <c r="H12" s="150"/>
      <c r="J12" s="182"/>
      <c r="K12" s="182"/>
      <c r="L12" s="182"/>
      <c r="M12" s="182"/>
    </row>
    <row r="13" spans="1:13" s="247" customFormat="1" x14ac:dyDescent="0.25">
      <c r="A13" s="413"/>
      <c r="B13" s="150"/>
      <c r="C13" s="373">
        <f>D7</f>
        <v>13042.3</v>
      </c>
      <c r="D13" s="374" t="s">
        <v>167</v>
      </c>
      <c r="E13" s="406"/>
      <c r="F13" s="150"/>
      <c r="G13" s="150"/>
      <c r="H13" s="150"/>
      <c r="J13" s="182"/>
      <c r="K13" s="182"/>
      <c r="L13" s="182"/>
      <c r="M13" s="182"/>
    </row>
    <row r="14" spans="1:13" s="247" customFormat="1" ht="14.4" x14ac:dyDescent="0.3">
      <c r="A14" s="414" t="s">
        <v>1</v>
      </c>
      <c r="B14" s="375"/>
      <c r="C14" s="386">
        <f>C10</f>
        <v>1449.76</v>
      </c>
      <c r="D14" s="377" t="s">
        <v>526</v>
      </c>
      <c r="E14" s="406"/>
      <c r="F14" s="150"/>
      <c r="G14" s="150"/>
      <c r="H14" s="150"/>
      <c r="J14" s="182"/>
      <c r="K14" s="182"/>
      <c r="L14" s="182"/>
      <c r="M14" s="182"/>
    </row>
    <row r="15" spans="1:13" s="247" customFormat="1" ht="14.4" x14ac:dyDescent="0.3">
      <c r="A15" s="1045" t="s">
        <v>527</v>
      </c>
      <c r="B15" s="1046"/>
      <c r="C15" s="1047">
        <f>SUM(C13:C14)</f>
        <v>14492.06</v>
      </c>
      <c r="D15" s="1048"/>
      <c r="E15" s="597" t="s">
        <v>1</v>
      </c>
      <c r="F15" s="427" t="s">
        <v>533</v>
      </c>
      <c r="G15" s="150"/>
      <c r="H15" s="425">
        <f>'Payment T&amp;T LAWSON'!$N$2</f>
        <v>14492.06</v>
      </c>
      <c r="J15" s="182"/>
      <c r="K15" s="182"/>
      <c r="L15" s="182"/>
      <c r="M15" s="182"/>
    </row>
    <row r="16" spans="1:13" s="247" customFormat="1" x14ac:dyDescent="0.25">
      <c r="A16" s="415"/>
      <c r="B16" s="372"/>
      <c r="C16" s="372"/>
      <c r="D16" s="372"/>
      <c r="E16" s="416"/>
      <c r="F16" s="150"/>
      <c r="G16" s="150"/>
      <c r="H16" s="150"/>
    </row>
    <row r="17" spans="1:8" s="487" customFormat="1" x14ac:dyDescent="0.25">
      <c r="A17" s="150"/>
      <c r="B17" s="150"/>
      <c r="C17" s="150"/>
      <c r="D17" s="150"/>
      <c r="E17" s="150"/>
      <c r="F17" s="150"/>
      <c r="G17" s="150"/>
      <c r="H17" s="150"/>
    </row>
    <row r="19" spans="1:8" ht="15.6" x14ac:dyDescent="0.3">
      <c r="A19" s="1051" t="s">
        <v>651</v>
      </c>
      <c r="B19" s="1052"/>
      <c r="C19" s="1052"/>
      <c r="D19" s="1052"/>
      <c r="E19" s="1053"/>
      <c r="F19" s="586"/>
      <c r="G19" s="586"/>
      <c r="H19" s="586"/>
    </row>
    <row r="20" spans="1:8" ht="15.6" x14ac:dyDescent="0.3">
      <c r="A20" s="1054" t="str">
        <f>'Payment Breakdowns'!$A$2:$F$2</f>
        <v xml:space="preserve">School Year 2020-2021 </v>
      </c>
      <c r="B20" s="1055"/>
      <c r="C20" s="1055"/>
      <c r="D20" s="1055"/>
      <c r="E20" s="1056"/>
      <c r="F20" s="586"/>
      <c r="G20" s="586"/>
      <c r="H20" s="586"/>
    </row>
    <row r="21" spans="1:8" x14ac:dyDescent="0.25">
      <c r="A21" s="1037" t="s">
        <v>513</v>
      </c>
      <c r="B21" s="1038"/>
      <c r="C21" s="150"/>
      <c r="D21" s="150"/>
      <c r="E21" s="406"/>
    </row>
    <row r="22" spans="1:8" ht="14.4" x14ac:dyDescent="0.3">
      <c r="A22" s="407"/>
      <c r="B22" s="353"/>
      <c r="C22" s="354" t="s">
        <v>514</v>
      </c>
      <c r="D22" s="355" t="s">
        <v>515</v>
      </c>
      <c r="E22" s="625"/>
      <c r="F22" s="396"/>
      <c r="G22" s="388"/>
      <c r="H22" s="388"/>
    </row>
    <row r="23" spans="1:8" ht="14.4" x14ac:dyDescent="0.3">
      <c r="A23" s="407"/>
      <c r="B23" s="353"/>
      <c r="C23" s="356" t="s">
        <v>516</v>
      </c>
      <c r="D23" s="357" t="s">
        <v>517</v>
      </c>
      <c r="E23" s="626"/>
      <c r="F23" s="389"/>
      <c r="G23" s="390"/>
      <c r="H23" s="390"/>
    </row>
    <row r="24" spans="1:8" ht="14.4" x14ac:dyDescent="0.3">
      <c r="A24" s="130" t="s">
        <v>4</v>
      </c>
      <c r="B24" s="475" t="s">
        <v>242</v>
      </c>
      <c r="C24" s="384">
        <f>'TT entry &amp; transportation'!$K$179</f>
        <v>1</v>
      </c>
      <c r="D24" s="358">
        <f>C24*$B$26</f>
        <v>3726.37</v>
      </c>
      <c r="E24" s="627"/>
      <c r="F24" s="175"/>
      <c r="G24" s="391"/>
      <c r="H24" s="593"/>
    </row>
    <row r="25" spans="1:8" ht="14.4" x14ac:dyDescent="0.3">
      <c r="A25" s="1045" t="s">
        <v>518</v>
      </c>
      <c r="B25" s="1046"/>
      <c r="C25" s="360">
        <f>SUM(C24:C24)</f>
        <v>1</v>
      </c>
      <c r="D25" s="361">
        <f>SUM(D24:D24)</f>
        <v>3726.37</v>
      </c>
      <c r="E25" s="598" t="s">
        <v>1</v>
      </c>
      <c r="F25" s="424" t="s">
        <v>532</v>
      </c>
      <c r="G25" s="425"/>
      <c r="H25" s="425">
        <f>'TT entry &amp; transportation'!$L$179</f>
        <v>3726.37</v>
      </c>
    </row>
    <row r="26" spans="1:8" x14ac:dyDescent="0.25">
      <c r="A26" s="409" t="s">
        <v>596</v>
      </c>
      <c r="B26" s="448">
        <f>'TT entry &amp; transportation'!$B$266</f>
        <v>3726.3709260000001</v>
      </c>
      <c r="C26" s="385" t="s">
        <v>1</v>
      </c>
      <c r="D26" s="175"/>
      <c r="E26" s="597" t="s">
        <v>1</v>
      </c>
      <c r="F26" s="427" t="s">
        <v>533</v>
      </c>
      <c r="G26" s="175"/>
      <c r="H26" s="428">
        <f>'Payment T&amp;T LAWSON'!$I$4</f>
        <v>3726.37</v>
      </c>
    </row>
    <row r="27" spans="1:8" ht="14.4" x14ac:dyDescent="0.3">
      <c r="A27" s="410"/>
      <c r="B27" s="411"/>
      <c r="C27" s="175"/>
      <c r="D27" s="175"/>
      <c r="E27" s="176"/>
      <c r="F27" s="175"/>
      <c r="G27" s="175"/>
      <c r="H27" s="363"/>
    </row>
    <row r="28" spans="1:8" ht="14.4" x14ac:dyDescent="0.3">
      <c r="A28" s="1049" t="s">
        <v>523</v>
      </c>
      <c r="B28" s="1050"/>
      <c r="C28" s="412">
        <f>'CTE TRANS'!$AL$4</f>
        <v>416.16</v>
      </c>
      <c r="D28" s="150"/>
      <c r="E28" s="597" t="s">
        <v>1</v>
      </c>
      <c r="F28" s="427" t="s">
        <v>533</v>
      </c>
      <c r="H28" s="429">
        <f>'Payment T&amp;T LAWSON'!$K$4</f>
        <v>416.16</v>
      </c>
    </row>
    <row r="29" spans="1:8" x14ac:dyDescent="0.25">
      <c r="A29" s="413"/>
      <c r="B29" s="150"/>
      <c r="C29" s="150"/>
      <c r="D29" s="150"/>
      <c r="E29" s="406"/>
    </row>
    <row r="30" spans="1:8" ht="14.4" x14ac:dyDescent="0.3">
      <c r="A30" s="1049" t="s">
        <v>524</v>
      </c>
      <c r="B30" s="1050"/>
      <c r="C30" s="371" t="s">
        <v>1</v>
      </c>
      <c r="D30" s="372" t="s">
        <v>1</v>
      </c>
      <c r="E30" s="406"/>
    </row>
    <row r="31" spans="1:8" x14ac:dyDescent="0.25">
      <c r="A31" s="413"/>
      <c r="B31" s="150"/>
      <c r="C31" s="373">
        <f>D25</f>
        <v>3726.37</v>
      </c>
      <c r="D31" s="374" t="s">
        <v>167</v>
      </c>
      <c r="E31" s="406"/>
    </row>
    <row r="32" spans="1:8" ht="14.4" x14ac:dyDescent="0.3">
      <c r="A32" s="414" t="s">
        <v>1</v>
      </c>
      <c r="B32" s="375"/>
      <c r="C32" s="386">
        <f>C28</f>
        <v>416.16</v>
      </c>
      <c r="D32" s="377" t="s">
        <v>526</v>
      </c>
      <c r="E32" s="406"/>
    </row>
    <row r="33" spans="1:8" ht="14.4" x14ac:dyDescent="0.3">
      <c r="A33" s="1045" t="s">
        <v>527</v>
      </c>
      <c r="B33" s="1046"/>
      <c r="C33" s="1047">
        <f>SUM(C31:C32)</f>
        <v>4142.53</v>
      </c>
      <c r="D33" s="1048"/>
      <c r="E33" s="597" t="s">
        <v>1</v>
      </c>
      <c r="F33" s="427" t="s">
        <v>533</v>
      </c>
      <c r="H33" s="425">
        <f>'Payment T&amp;T LAWSON'!$N$4</f>
        <v>4142.53</v>
      </c>
    </row>
    <row r="34" spans="1:8" x14ac:dyDescent="0.25">
      <c r="A34" s="415"/>
      <c r="B34" s="372"/>
      <c r="C34" s="372"/>
      <c r="D34" s="372"/>
      <c r="E34" s="416"/>
    </row>
    <row r="35" spans="1:8" s="247" customFormat="1" x14ac:dyDescent="0.25">
      <c r="A35" s="150"/>
      <c r="B35" s="150"/>
      <c r="C35" s="150"/>
      <c r="D35" s="150"/>
      <c r="E35" s="150"/>
      <c r="F35" s="150"/>
      <c r="G35" s="150"/>
      <c r="H35" s="150"/>
    </row>
    <row r="37" spans="1:8" ht="15.6" x14ac:dyDescent="0.3">
      <c r="A37" s="1051" t="s">
        <v>652</v>
      </c>
      <c r="B37" s="1052"/>
      <c r="C37" s="1052"/>
      <c r="D37" s="1052"/>
      <c r="E37" s="1053"/>
      <c r="F37" s="586"/>
      <c r="G37" s="586"/>
      <c r="H37" s="586"/>
    </row>
    <row r="38" spans="1:8" ht="15.6" x14ac:dyDescent="0.3">
      <c r="A38" s="1054" t="str">
        <f>'Payment Breakdowns'!$A$2:$F$2</f>
        <v xml:space="preserve">School Year 2020-2021 </v>
      </c>
      <c r="B38" s="1055"/>
      <c r="C38" s="1055"/>
      <c r="D38" s="1055"/>
      <c r="E38" s="1056"/>
      <c r="F38" s="586"/>
      <c r="G38" s="586"/>
      <c r="H38" s="586"/>
    </row>
    <row r="39" spans="1:8" x14ac:dyDescent="0.25">
      <c r="A39" s="1037" t="s">
        <v>513</v>
      </c>
      <c r="B39" s="1038"/>
      <c r="C39" s="150"/>
      <c r="D39" s="150"/>
      <c r="E39" s="406"/>
    </row>
    <row r="40" spans="1:8" ht="14.4" x14ac:dyDescent="0.3">
      <c r="A40" s="407"/>
      <c r="B40" s="353"/>
      <c r="C40" s="354" t="s">
        <v>514</v>
      </c>
      <c r="D40" s="355" t="s">
        <v>515</v>
      </c>
      <c r="E40" s="625"/>
      <c r="F40" s="396"/>
      <c r="G40" s="388"/>
      <c r="H40" s="388"/>
    </row>
    <row r="41" spans="1:8" ht="14.4" x14ac:dyDescent="0.3">
      <c r="A41" s="407"/>
      <c r="B41" s="353"/>
      <c r="C41" s="356" t="s">
        <v>516</v>
      </c>
      <c r="D41" s="357" t="s">
        <v>517</v>
      </c>
      <c r="E41" s="626"/>
      <c r="F41" s="389"/>
      <c r="G41" s="390"/>
      <c r="H41" s="390"/>
    </row>
    <row r="42" spans="1:8" ht="14.4" x14ac:dyDescent="0.3">
      <c r="A42" s="130" t="s">
        <v>4</v>
      </c>
      <c r="B42" s="475" t="s">
        <v>242</v>
      </c>
      <c r="C42" s="384">
        <f>'TT entry &amp; transportation'!$K$180</f>
        <v>30.5</v>
      </c>
      <c r="D42" s="358">
        <f>C42*$B$44</f>
        <v>113654.31</v>
      </c>
      <c r="E42" s="627"/>
      <c r="F42" s="175"/>
      <c r="G42" s="391"/>
      <c r="H42" s="593"/>
    </row>
    <row r="43" spans="1:8" ht="14.4" x14ac:dyDescent="0.3">
      <c r="A43" s="1045" t="s">
        <v>518</v>
      </c>
      <c r="B43" s="1046"/>
      <c r="C43" s="360">
        <f>SUM(C42:C42)</f>
        <v>30.5</v>
      </c>
      <c r="D43" s="361">
        <f>SUM(D42:D42)</f>
        <v>113654.31</v>
      </c>
      <c r="E43" s="598" t="s">
        <v>1</v>
      </c>
      <c r="F43" s="424" t="s">
        <v>532</v>
      </c>
      <c r="G43" s="425"/>
      <c r="H43" s="425">
        <f>'TT entry &amp; transportation'!L180</f>
        <v>113654.31</v>
      </c>
    </row>
    <row r="44" spans="1:8" x14ac:dyDescent="0.25">
      <c r="A44" s="409" t="s">
        <v>596</v>
      </c>
      <c r="B44" s="448">
        <f>'TT entry &amp; transportation'!$B$266</f>
        <v>3726.3709260000001</v>
      </c>
      <c r="C44" s="385" t="s">
        <v>1</v>
      </c>
      <c r="D44" s="175"/>
      <c r="E44" s="597" t="s">
        <v>1</v>
      </c>
      <c r="F44" s="427" t="s">
        <v>533</v>
      </c>
      <c r="G44" s="175"/>
      <c r="H44" s="428">
        <f>'Payment T&amp;T LAWSON'!I22</f>
        <v>113654.31</v>
      </c>
    </row>
    <row r="45" spans="1:8" ht="14.4" x14ac:dyDescent="0.3">
      <c r="A45" s="410"/>
      <c r="B45" s="411"/>
      <c r="C45" s="175"/>
      <c r="D45" s="175"/>
      <c r="E45" s="176"/>
      <c r="F45" s="175"/>
      <c r="G45" s="175"/>
      <c r="H45" s="363"/>
    </row>
    <row r="46" spans="1:8" ht="14.4" x14ac:dyDescent="0.3">
      <c r="A46" s="1049" t="s">
        <v>523</v>
      </c>
      <c r="B46" s="1050"/>
      <c r="C46" s="412">
        <f>'CTE TRANS'!$AL$22</f>
        <v>12563.68</v>
      </c>
      <c r="D46" s="150"/>
      <c r="E46" s="597" t="s">
        <v>1</v>
      </c>
      <c r="F46" s="427" t="s">
        <v>533</v>
      </c>
      <c r="H46" s="429">
        <f>'Payment T&amp;T LAWSON'!K22</f>
        <v>12563.68</v>
      </c>
    </row>
    <row r="47" spans="1:8" x14ac:dyDescent="0.25">
      <c r="A47" s="413"/>
      <c r="B47" s="150"/>
      <c r="C47" s="150"/>
      <c r="D47" s="150"/>
      <c r="E47" s="406"/>
    </row>
    <row r="48" spans="1:8" ht="14.4" x14ac:dyDescent="0.3">
      <c r="A48" s="1049" t="s">
        <v>524</v>
      </c>
      <c r="B48" s="1050"/>
      <c r="C48" s="371" t="s">
        <v>1</v>
      </c>
      <c r="D48" s="372" t="s">
        <v>1</v>
      </c>
      <c r="E48" s="406"/>
    </row>
    <row r="49" spans="1:8" x14ac:dyDescent="0.25">
      <c r="A49" s="413"/>
      <c r="B49" s="150"/>
      <c r="C49" s="373">
        <f>D43</f>
        <v>113654.31</v>
      </c>
      <c r="D49" s="374" t="s">
        <v>167</v>
      </c>
      <c r="E49" s="406"/>
    </row>
    <row r="50" spans="1:8" ht="14.4" x14ac:dyDescent="0.3">
      <c r="A50" s="414" t="s">
        <v>1</v>
      </c>
      <c r="B50" s="375"/>
      <c r="C50" s="386">
        <f>C46</f>
        <v>12563.68</v>
      </c>
      <c r="D50" s="377" t="s">
        <v>526</v>
      </c>
      <c r="E50" s="406"/>
    </row>
    <row r="51" spans="1:8" ht="14.4" x14ac:dyDescent="0.3">
      <c r="A51" s="1045" t="s">
        <v>527</v>
      </c>
      <c r="B51" s="1046"/>
      <c r="C51" s="1047">
        <f>SUM(C49:C50)</f>
        <v>126217.99</v>
      </c>
      <c r="D51" s="1048"/>
      <c r="E51" s="597" t="s">
        <v>1</v>
      </c>
      <c r="F51" s="427" t="s">
        <v>533</v>
      </c>
      <c r="H51" s="425">
        <f>'Payment T&amp;T LAWSON'!$N$22</f>
        <v>126217.99</v>
      </c>
    </row>
    <row r="52" spans="1:8" x14ac:dyDescent="0.25">
      <c r="A52" s="415"/>
      <c r="B52" s="372"/>
      <c r="C52" s="372"/>
      <c r="D52" s="372"/>
      <c r="E52" s="416"/>
    </row>
    <row r="53" spans="1:8" s="247" customFormat="1" x14ac:dyDescent="0.25">
      <c r="A53" s="150"/>
      <c r="B53" s="150"/>
      <c r="C53" s="150"/>
      <c r="D53" s="150"/>
      <c r="E53" s="150"/>
      <c r="F53" s="150"/>
      <c r="G53" s="150"/>
      <c r="H53" s="150"/>
    </row>
    <row r="54" spans="1:8" s="487" customFormat="1" x14ac:dyDescent="0.25">
      <c r="A54" s="150"/>
      <c r="B54" s="150"/>
      <c r="C54" s="150"/>
      <c r="D54" s="150"/>
      <c r="E54" s="150"/>
      <c r="F54" s="150"/>
      <c r="G54" s="150"/>
      <c r="H54" s="150"/>
    </row>
    <row r="55" spans="1:8" ht="15.6" x14ac:dyDescent="0.3">
      <c r="A55" s="1051" t="s">
        <v>653</v>
      </c>
      <c r="B55" s="1052"/>
      <c r="C55" s="1052"/>
      <c r="D55" s="1052"/>
      <c r="E55" s="1053"/>
      <c r="F55" s="586"/>
      <c r="G55" s="586"/>
      <c r="H55" s="586"/>
    </row>
    <row r="56" spans="1:8" ht="15.6" x14ac:dyDescent="0.3">
      <c r="A56" s="1054" t="str">
        <f>'Payment Breakdowns'!$A$2:$F$2</f>
        <v xml:space="preserve">School Year 2020-2021 </v>
      </c>
      <c r="B56" s="1055"/>
      <c r="C56" s="1055"/>
      <c r="D56" s="1055"/>
      <c r="E56" s="1056"/>
      <c r="F56" s="586"/>
      <c r="G56" s="586"/>
      <c r="H56" s="586"/>
    </row>
    <row r="57" spans="1:8" x14ac:dyDescent="0.25">
      <c r="A57" s="1037" t="s">
        <v>513</v>
      </c>
      <c r="B57" s="1038"/>
      <c r="C57" s="150"/>
      <c r="D57" s="150"/>
      <c r="E57" s="406"/>
    </row>
    <row r="58" spans="1:8" ht="14.4" x14ac:dyDescent="0.3">
      <c r="A58" s="407"/>
      <c r="B58" s="353"/>
      <c r="C58" s="354" t="s">
        <v>514</v>
      </c>
      <c r="D58" s="355" t="s">
        <v>515</v>
      </c>
      <c r="E58" s="625"/>
      <c r="F58" s="396"/>
      <c r="G58" s="388"/>
      <c r="H58" s="388"/>
    </row>
    <row r="59" spans="1:8" ht="14.4" x14ac:dyDescent="0.3">
      <c r="A59" s="407"/>
      <c r="B59" s="353"/>
      <c r="C59" s="356" t="s">
        <v>516</v>
      </c>
      <c r="D59" s="357" t="s">
        <v>517</v>
      </c>
      <c r="E59" s="626"/>
      <c r="F59" s="389"/>
      <c r="G59" s="390"/>
      <c r="H59" s="390"/>
    </row>
    <row r="60" spans="1:8" ht="14.4" x14ac:dyDescent="0.3">
      <c r="A60" s="130" t="s">
        <v>4</v>
      </c>
      <c r="B60" s="475" t="s">
        <v>242</v>
      </c>
      <c r="C60" s="384">
        <f>'TT entry &amp; transportation'!$K$183</f>
        <v>3</v>
      </c>
      <c r="D60" s="358">
        <f>C60*$B$62</f>
        <v>11179.11</v>
      </c>
      <c r="E60" s="627"/>
      <c r="F60" s="175"/>
      <c r="G60" s="391"/>
      <c r="H60" s="593"/>
    </row>
    <row r="61" spans="1:8" ht="14.4" x14ac:dyDescent="0.3">
      <c r="A61" s="1045" t="s">
        <v>518</v>
      </c>
      <c r="B61" s="1046"/>
      <c r="C61" s="360">
        <f>SUM(C60:C60)</f>
        <v>3</v>
      </c>
      <c r="D61" s="361">
        <f>SUM(D60:D60)</f>
        <v>11179.11</v>
      </c>
      <c r="E61" s="598" t="s">
        <v>1</v>
      </c>
      <c r="F61" s="424" t="s">
        <v>532</v>
      </c>
      <c r="G61" s="425"/>
      <c r="H61" s="425">
        <f>'TT entry &amp; transportation'!$L$183</f>
        <v>11179.11</v>
      </c>
    </row>
    <row r="62" spans="1:8" x14ac:dyDescent="0.25">
      <c r="A62" s="409" t="s">
        <v>596</v>
      </c>
      <c r="B62" s="448">
        <f>'TT entry &amp; transportation'!$B$266</f>
        <v>3726.3709260000001</v>
      </c>
      <c r="C62" s="385" t="s">
        <v>1</v>
      </c>
      <c r="D62" s="175"/>
      <c r="E62" s="597" t="s">
        <v>1</v>
      </c>
      <c r="F62" s="427" t="s">
        <v>533</v>
      </c>
      <c r="G62" s="175"/>
      <c r="H62" s="428">
        <f>'Payment T&amp;T LAWSON'!$I$60</f>
        <v>11179.11</v>
      </c>
    </row>
    <row r="63" spans="1:8" ht="14.4" x14ac:dyDescent="0.3">
      <c r="A63" s="410"/>
      <c r="B63" s="411"/>
      <c r="C63" s="175"/>
      <c r="D63" s="175"/>
      <c r="E63" s="176"/>
      <c r="F63" s="175"/>
      <c r="G63" s="175"/>
      <c r="H63" s="363"/>
    </row>
    <row r="64" spans="1:8" ht="14.4" x14ac:dyDescent="0.3">
      <c r="A64" s="1049" t="s">
        <v>523</v>
      </c>
      <c r="B64" s="1050"/>
      <c r="C64" s="412">
        <f>'CTE TRANS'!$AL$61</f>
        <v>0</v>
      </c>
      <c r="D64" s="150"/>
      <c r="E64" s="597" t="s">
        <v>1</v>
      </c>
      <c r="F64" s="427" t="s">
        <v>533</v>
      </c>
      <c r="H64" s="429">
        <f>'Payment T&amp;T LAWSON'!$K$60</f>
        <v>0</v>
      </c>
    </row>
    <row r="65" spans="1:8" x14ac:dyDescent="0.25">
      <c r="A65" s="413"/>
      <c r="B65" s="150"/>
      <c r="C65" s="150"/>
      <c r="D65" s="150"/>
      <c r="E65" s="406"/>
    </row>
    <row r="66" spans="1:8" ht="14.4" x14ac:dyDescent="0.3">
      <c r="A66" s="1049" t="s">
        <v>524</v>
      </c>
      <c r="B66" s="1050"/>
      <c r="C66" s="371" t="s">
        <v>1</v>
      </c>
      <c r="D66" s="372" t="s">
        <v>1</v>
      </c>
      <c r="E66" s="406"/>
    </row>
    <row r="67" spans="1:8" x14ac:dyDescent="0.25">
      <c r="A67" s="413"/>
      <c r="B67" s="150"/>
      <c r="C67" s="373">
        <f>D61</f>
        <v>11179.11</v>
      </c>
      <c r="D67" s="374" t="s">
        <v>167</v>
      </c>
      <c r="E67" s="406"/>
    </row>
    <row r="68" spans="1:8" ht="14.4" x14ac:dyDescent="0.3">
      <c r="A68" s="414" t="s">
        <v>1</v>
      </c>
      <c r="B68" s="375"/>
      <c r="C68" s="386">
        <f>C64</f>
        <v>0</v>
      </c>
      <c r="D68" s="377" t="s">
        <v>526</v>
      </c>
      <c r="E68" s="406"/>
    </row>
    <row r="69" spans="1:8" ht="14.4" x14ac:dyDescent="0.3">
      <c r="A69" s="1045" t="s">
        <v>527</v>
      </c>
      <c r="B69" s="1046"/>
      <c r="C69" s="1047">
        <f>SUM(C67:C68)</f>
        <v>11179.11</v>
      </c>
      <c r="D69" s="1048"/>
      <c r="E69" s="597" t="s">
        <v>1</v>
      </c>
      <c r="F69" s="427" t="s">
        <v>533</v>
      </c>
      <c r="H69" s="425">
        <f>'Payment T&amp;T LAWSON'!$N$60</f>
        <v>11179.11</v>
      </c>
    </row>
    <row r="70" spans="1:8" x14ac:dyDescent="0.25">
      <c r="A70" s="415"/>
      <c r="B70" s="372"/>
      <c r="C70" s="372"/>
      <c r="D70" s="372"/>
      <c r="E70" s="416"/>
    </row>
    <row r="71" spans="1:8" s="247" customFormat="1" x14ac:dyDescent="0.25">
      <c r="A71" s="150"/>
      <c r="B71" s="150"/>
      <c r="C71" s="150"/>
      <c r="D71" s="150"/>
      <c r="E71" s="150"/>
      <c r="F71" s="150"/>
      <c r="G71" s="150"/>
      <c r="H71" s="150"/>
    </row>
    <row r="73" spans="1:8" s="247" customFormat="1" ht="15.6" x14ac:dyDescent="0.3">
      <c r="A73" s="1051" t="s">
        <v>654</v>
      </c>
      <c r="B73" s="1052"/>
      <c r="C73" s="1052"/>
      <c r="D73" s="1052"/>
      <c r="E73" s="1053"/>
      <c r="F73" s="586"/>
      <c r="G73" s="586"/>
      <c r="H73" s="586"/>
    </row>
    <row r="74" spans="1:8" ht="15.6" x14ac:dyDescent="0.3">
      <c r="A74" s="1054" t="str">
        <f>'Payment Breakdowns'!$A$2:$F$2</f>
        <v xml:space="preserve">School Year 2020-2021 </v>
      </c>
      <c r="B74" s="1055"/>
      <c r="C74" s="1055"/>
      <c r="D74" s="1055"/>
      <c r="E74" s="1056"/>
      <c r="F74" s="586"/>
      <c r="G74" s="586"/>
      <c r="H74" s="586"/>
    </row>
    <row r="75" spans="1:8" x14ac:dyDescent="0.25">
      <c r="A75" s="1037" t="s">
        <v>513</v>
      </c>
      <c r="B75" s="1038"/>
      <c r="C75" s="150"/>
      <c r="D75" s="150"/>
      <c r="E75" s="406"/>
    </row>
    <row r="76" spans="1:8" ht="14.4" x14ac:dyDescent="0.3">
      <c r="A76" s="407"/>
      <c r="B76" s="353"/>
      <c r="C76" s="354" t="s">
        <v>514</v>
      </c>
      <c r="D76" s="355" t="s">
        <v>515</v>
      </c>
      <c r="E76" s="625"/>
      <c r="F76" s="396"/>
      <c r="G76" s="388"/>
      <c r="H76" s="388"/>
    </row>
    <row r="77" spans="1:8" ht="14.4" x14ac:dyDescent="0.3">
      <c r="A77" s="407"/>
      <c r="B77" s="353"/>
      <c r="C77" s="356" t="s">
        <v>516</v>
      </c>
      <c r="D77" s="357" t="s">
        <v>517</v>
      </c>
      <c r="E77" s="626"/>
      <c r="F77" s="389"/>
      <c r="G77" s="390"/>
      <c r="H77" s="390"/>
    </row>
    <row r="78" spans="1:8" ht="14.4" x14ac:dyDescent="0.3">
      <c r="A78" s="130" t="s">
        <v>4</v>
      </c>
      <c r="B78" s="475" t="s">
        <v>242</v>
      </c>
      <c r="C78" s="384">
        <f>'TT entry &amp; transportation'!$K$185</f>
        <v>0</v>
      </c>
      <c r="D78" s="358">
        <f>C78*$B$80</f>
        <v>0</v>
      </c>
      <c r="E78" s="627"/>
      <c r="F78" s="175"/>
      <c r="G78" s="391"/>
      <c r="H78" s="593"/>
    </row>
    <row r="79" spans="1:8" ht="14.4" x14ac:dyDescent="0.3">
      <c r="A79" s="1045" t="s">
        <v>518</v>
      </c>
      <c r="B79" s="1046"/>
      <c r="C79" s="360">
        <f>SUM(C78:C78)</f>
        <v>0</v>
      </c>
      <c r="D79" s="361">
        <f>SUM(D78:D78)</f>
        <v>0</v>
      </c>
      <c r="E79" s="598" t="s">
        <v>1</v>
      </c>
      <c r="F79" s="424" t="s">
        <v>532</v>
      </c>
      <c r="G79" s="425"/>
      <c r="H79" s="425">
        <f>'TT entry &amp; transportation'!$L$185</f>
        <v>0</v>
      </c>
    </row>
    <row r="80" spans="1:8" x14ac:dyDescent="0.25">
      <c r="A80" s="409" t="s">
        <v>596</v>
      </c>
      <c r="B80" s="448">
        <f>'TT entry &amp; transportation'!$B$266</f>
        <v>3726.3709260000001</v>
      </c>
      <c r="C80" s="385" t="s">
        <v>1</v>
      </c>
      <c r="D80" s="175"/>
      <c r="E80" s="597" t="s">
        <v>1</v>
      </c>
      <c r="F80" s="427" t="s">
        <v>533</v>
      </c>
      <c r="G80" s="175"/>
      <c r="H80" s="428">
        <f>'Payment T&amp;T LAWSON'!$I$81</f>
        <v>0</v>
      </c>
    </row>
    <row r="81" spans="1:8" s="247" customFormat="1" ht="14.4" x14ac:dyDescent="0.3">
      <c r="A81" s="410"/>
      <c r="B81" s="411"/>
      <c r="C81" s="175"/>
      <c r="D81" s="175"/>
      <c r="E81" s="176"/>
      <c r="F81" s="175"/>
      <c r="G81" s="175"/>
      <c r="H81" s="363"/>
    </row>
    <row r="82" spans="1:8" ht="14.4" x14ac:dyDescent="0.3">
      <c r="A82" s="1049" t="s">
        <v>523</v>
      </c>
      <c r="B82" s="1050"/>
      <c r="C82" s="412">
        <f>'CTE TRANS'!$AL$82</f>
        <v>0</v>
      </c>
      <c r="D82" s="150"/>
      <c r="E82" s="597" t="s">
        <v>1</v>
      </c>
      <c r="F82" s="427" t="s">
        <v>533</v>
      </c>
      <c r="H82" s="429">
        <f>'Payment T&amp;T LAWSON'!$K$81</f>
        <v>0</v>
      </c>
    </row>
    <row r="83" spans="1:8" x14ac:dyDescent="0.25">
      <c r="A83" s="413"/>
      <c r="B83" s="150"/>
      <c r="C83" s="150"/>
      <c r="D83" s="150"/>
      <c r="E83" s="406"/>
    </row>
    <row r="84" spans="1:8" ht="14.4" x14ac:dyDescent="0.3">
      <c r="A84" s="1049" t="s">
        <v>524</v>
      </c>
      <c r="B84" s="1050"/>
      <c r="C84" s="371" t="s">
        <v>1</v>
      </c>
      <c r="D84" s="372" t="s">
        <v>1</v>
      </c>
      <c r="E84" s="406"/>
    </row>
    <row r="85" spans="1:8" x14ac:dyDescent="0.25">
      <c r="A85" s="413"/>
      <c r="B85" s="150"/>
      <c r="C85" s="373">
        <f>D79</f>
        <v>0</v>
      </c>
      <c r="D85" s="374" t="s">
        <v>167</v>
      </c>
      <c r="E85" s="406"/>
    </row>
    <row r="86" spans="1:8" ht="14.4" x14ac:dyDescent="0.3">
      <c r="A86" s="414" t="s">
        <v>1</v>
      </c>
      <c r="B86" s="375"/>
      <c r="C86" s="386">
        <f>C82</f>
        <v>0</v>
      </c>
      <c r="D86" s="377" t="s">
        <v>526</v>
      </c>
      <c r="E86" s="406"/>
    </row>
    <row r="87" spans="1:8" ht="14.4" x14ac:dyDescent="0.3">
      <c r="A87" s="1045" t="s">
        <v>527</v>
      </c>
      <c r="B87" s="1046"/>
      <c r="C87" s="1047">
        <f>SUM(C85:C86)</f>
        <v>0</v>
      </c>
      <c r="D87" s="1048"/>
      <c r="E87" s="597" t="s">
        <v>1</v>
      </c>
      <c r="F87" s="427" t="s">
        <v>533</v>
      </c>
      <c r="H87" s="425">
        <f>'Payment T&amp;T LAWSON'!$N$81</f>
        <v>0</v>
      </c>
    </row>
    <row r="88" spans="1:8" x14ac:dyDescent="0.25">
      <c r="A88" s="415"/>
      <c r="B88" s="372"/>
      <c r="C88" s="372"/>
      <c r="D88" s="372"/>
      <c r="E88" s="416"/>
    </row>
    <row r="89" spans="1:8" x14ac:dyDescent="0.25">
      <c r="A89" s="150"/>
      <c r="B89" s="150"/>
      <c r="C89" s="150"/>
      <c r="D89" s="150"/>
      <c r="E89" s="150"/>
    </row>
    <row r="91" spans="1:8" ht="15.6" x14ac:dyDescent="0.3">
      <c r="A91" s="1051" t="s">
        <v>566</v>
      </c>
      <c r="B91" s="1052"/>
      <c r="C91" s="1052"/>
      <c r="D91" s="1052"/>
      <c r="E91" s="1053"/>
      <c r="F91" s="586"/>
      <c r="G91" s="586"/>
      <c r="H91" s="586"/>
    </row>
    <row r="92" spans="1:8" s="247" customFormat="1" ht="15.6" x14ac:dyDescent="0.3">
      <c r="A92" s="1054" t="str">
        <f>'Payment Breakdowns'!$A$2:$F$2</f>
        <v xml:space="preserve">School Year 2020-2021 </v>
      </c>
      <c r="B92" s="1055"/>
      <c r="C92" s="1055"/>
      <c r="D92" s="1055"/>
      <c r="E92" s="1056"/>
      <c r="F92" s="586"/>
      <c r="G92" s="586"/>
      <c r="H92" s="586"/>
    </row>
    <row r="93" spans="1:8" x14ac:dyDescent="0.25">
      <c r="A93" s="1037" t="s">
        <v>513</v>
      </c>
      <c r="B93" s="1038"/>
      <c r="C93" s="150"/>
      <c r="D93" s="150"/>
      <c r="E93" s="406"/>
    </row>
    <row r="94" spans="1:8" ht="14.4" x14ac:dyDescent="0.3">
      <c r="A94" s="407"/>
      <c r="B94" s="353"/>
      <c r="C94" s="354" t="s">
        <v>514</v>
      </c>
      <c r="D94" s="355" t="s">
        <v>515</v>
      </c>
      <c r="E94" s="625"/>
      <c r="F94" s="396"/>
      <c r="G94" s="388"/>
      <c r="H94" s="388"/>
    </row>
    <row r="95" spans="1:8" ht="14.4" x14ac:dyDescent="0.3">
      <c r="A95" s="407"/>
      <c r="B95" s="353"/>
      <c r="C95" s="356" t="s">
        <v>516</v>
      </c>
      <c r="D95" s="357" t="s">
        <v>517</v>
      </c>
      <c r="E95" s="626"/>
      <c r="F95" s="389"/>
      <c r="G95" s="390"/>
      <c r="H95" s="390"/>
    </row>
    <row r="96" spans="1:8" ht="14.4" x14ac:dyDescent="0.3">
      <c r="A96" s="130" t="s">
        <v>4</v>
      </c>
      <c r="B96" s="475" t="s">
        <v>1</v>
      </c>
      <c r="C96" s="384">
        <f>'TT entry &amp; transportation'!$K$181</f>
        <v>1</v>
      </c>
      <c r="D96" s="358">
        <f>C96*$B$99</f>
        <v>3726.37</v>
      </c>
      <c r="E96" s="359" t="s">
        <v>1</v>
      </c>
      <c r="F96" s="175"/>
      <c r="G96" s="391"/>
      <c r="H96" s="593"/>
    </row>
    <row r="97" spans="1:8" ht="14.4" x14ac:dyDescent="0.3">
      <c r="A97" s="134" t="s">
        <v>24</v>
      </c>
      <c r="B97" s="475"/>
      <c r="C97" s="384">
        <f>'TT entry &amp; transportation'!$K$199</f>
        <v>3</v>
      </c>
      <c r="D97" s="358">
        <f>C97*$B$99</f>
        <v>11179.11</v>
      </c>
      <c r="E97" s="627"/>
      <c r="F97" s="175"/>
      <c r="G97" s="391"/>
      <c r="H97" s="593"/>
    </row>
    <row r="98" spans="1:8" ht="14.4" x14ac:dyDescent="0.3">
      <c r="A98" s="1045" t="s">
        <v>518</v>
      </c>
      <c r="B98" s="1046"/>
      <c r="C98" s="360">
        <f>SUM(C96:C97)</f>
        <v>4</v>
      </c>
      <c r="D98" s="361">
        <f>SUM(D96:D97)</f>
        <v>14905.48</v>
      </c>
      <c r="E98" s="598" t="s">
        <v>1</v>
      </c>
      <c r="F98" s="424" t="s">
        <v>532</v>
      </c>
      <c r="G98" s="425"/>
      <c r="H98" s="425">
        <f>'TT entry &amp; transportation'!$L$181+'TT entry &amp; transportation'!$L$199</f>
        <v>14905.48</v>
      </c>
    </row>
    <row r="99" spans="1:8" x14ac:dyDescent="0.25">
      <c r="A99" s="409" t="s">
        <v>596</v>
      </c>
      <c r="B99" s="448">
        <f>'TT entry &amp; transportation'!$B$266</f>
        <v>3726.3709260000001</v>
      </c>
      <c r="C99" s="385" t="s">
        <v>1</v>
      </c>
      <c r="D99" s="175"/>
      <c r="E99" s="597" t="s">
        <v>1</v>
      </c>
      <c r="F99" s="427" t="s">
        <v>533</v>
      </c>
      <c r="G99" s="175"/>
      <c r="H99" s="428">
        <f>'Payment T&amp;T LAWSON'!I40</f>
        <v>14905.48</v>
      </c>
    </row>
    <row r="100" spans="1:8" ht="14.4" x14ac:dyDescent="0.3">
      <c r="A100" s="410"/>
      <c r="B100" s="411"/>
      <c r="C100" s="175"/>
      <c r="D100" s="175"/>
      <c r="E100" s="176"/>
      <c r="F100" s="175"/>
      <c r="G100" s="175"/>
      <c r="H100" s="363"/>
    </row>
    <row r="101" spans="1:8" ht="14.4" x14ac:dyDescent="0.3">
      <c r="A101" s="1049" t="s">
        <v>523</v>
      </c>
      <c r="B101" s="1050"/>
      <c r="C101" s="412">
        <f>'CTE TRANS'!$AL$41</f>
        <v>0</v>
      </c>
      <c r="D101" s="150"/>
      <c r="E101" s="597" t="s">
        <v>1</v>
      </c>
      <c r="F101" s="427" t="s">
        <v>533</v>
      </c>
      <c r="H101" s="429">
        <f>'Payment T&amp;T LAWSON'!K40</f>
        <v>0</v>
      </c>
    </row>
    <row r="102" spans="1:8" x14ac:dyDescent="0.25">
      <c r="A102" s="413"/>
      <c r="B102" s="150"/>
      <c r="C102" s="150"/>
      <c r="D102" s="150"/>
      <c r="E102" s="406"/>
    </row>
    <row r="103" spans="1:8" ht="14.4" x14ac:dyDescent="0.3">
      <c r="A103" s="1049" t="s">
        <v>524</v>
      </c>
      <c r="B103" s="1050"/>
      <c r="C103" s="371" t="s">
        <v>1</v>
      </c>
      <c r="D103" s="372" t="s">
        <v>1</v>
      </c>
      <c r="E103" s="406"/>
    </row>
    <row r="104" spans="1:8" x14ac:dyDescent="0.25">
      <c r="A104" s="413"/>
      <c r="B104" s="150"/>
      <c r="C104" s="373">
        <f>D98</f>
        <v>14905.48</v>
      </c>
      <c r="D104" s="374" t="s">
        <v>167</v>
      </c>
      <c r="E104" s="406"/>
    </row>
    <row r="105" spans="1:8" ht="14.4" x14ac:dyDescent="0.3">
      <c r="A105" s="414" t="s">
        <v>1</v>
      </c>
      <c r="B105" s="375"/>
      <c r="C105" s="386">
        <f>C101</f>
        <v>0</v>
      </c>
      <c r="D105" s="377" t="s">
        <v>526</v>
      </c>
      <c r="E105" s="406"/>
    </row>
    <row r="106" spans="1:8" ht="14.4" x14ac:dyDescent="0.3">
      <c r="A106" s="1045" t="s">
        <v>527</v>
      </c>
      <c r="B106" s="1046"/>
      <c r="C106" s="1047">
        <f>SUM(C104:C105)</f>
        <v>14905.48</v>
      </c>
      <c r="D106" s="1048"/>
      <c r="E106" s="597" t="s">
        <v>1</v>
      </c>
      <c r="F106" s="427" t="s">
        <v>533</v>
      </c>
      <c r="H106" s="425">
        <f>'Payment T&amp;T LAWSON'!$N$40</f>
        <v>14905.48</v>
      </c>
    </row>
    <row r="107" spans="1:8" x14ac:dyDescent="0.25">
      <c r="A107" s="415"/>
      <c r="B107" s="372"/>
      <c r="C107" s="372"/>
      <c r="D107" s="372"/>
      <c r="E107" s="416"/>
    </row>
    <row r="108" spans="1:8" x14ac:dyDescent="0.25">
      <c r="A108" s="150"/>
      <c r="B108" s="150"/>
      <c r="C108" s="150"/>
      <c r="D108" s="150"/>
      <c r="E108" s="150"/>
    </row>
    <row r="110" spans="1:8" ht="15.6" x14ac:dyDescent="0.3">
      <c r="A110" s="1051" t="s">
        <v>645</v>
      </c>
      <c r="B110" s="1052"/>
      <c r="C110" s="1052"/>
      <c r="D110" s="1052"/>
      <c r="E110" s="1053"/>
      <c r="F110" s="586"/>
      <c r="G110" s="586"/>
      <c r="H110" s="586"/>
    </row>
    <row r="111" spans="1:8" ht="15.6" x14ac:dyDescent="0.3">
      <c r="A111" s="1054" t="str">
        <f>'Payment Breakdowns'!$A$2:$F$2</f>
        <v xml:space="preserve">School Year 2020-2021 </v>
      </c>
      <c r="B111" s="1055"/>
      <c r="C111" s="1055"/>
      <c r="D111" s="1055"/>
      <c r="E111" s="1056"/>
      <c r="F111" s="586"/>
      <c r="G111" s="586"/>
      <c r="H111" s="586"/>
    </row>
    <row r="112" spans="1:8" x14ac:dyDescent="0.25">
      <c r="A112" s="1037" t="s">
        <v>513</v>
      </c>
      <c r="B112" s="1038"/>
      <c r="C112" s="150"/>
      <c r="D112" s="150"/>
      <c r="E112" s="406"/>
    </row>
    <row r="113" spans="1:8" ht="14.4" x14ac:dyDescent="0.3">
      <c r="A113" s="407"/>
      <c r="B113" s="353"/>
      <c r="C113" s="354" t="s">
        <v>514</v>
      </c>
      <c r="D113" s="355" t="s">
        <v>515</v>
      </c>
      <c r="E113" s="625"/>
      <c r="F113" s="396"/>
      <c r="G113" s="388"/>
      <c r="H113" s="388"/>
    </row>
    <row r="114" spans="1:8" ht="14.4" x14ac:dyDescent="0.3">
      <c r="A114" s="407"/>
      <c r="B114" s="353"/>
      <c r="C114" s="356" t="s">
        <v>516</v>
      </c>
      <c r="D114" s="357" t="s">
        <v>517</v>
      </c>
      <c r="E114" s="626"/>
      <c r="F114" s="389"/>
      <c r="G114" s="390"/>
      <c r="H114" s="390"/>
    </row>
    <row r="115" spans="1:8" ht="14.4" x14ac:dyDescent="0.3">
      <c r="A115" s="130" t="s">
        <v>4</v>
      </c>
      <c r="B115" s="475" t="s">
        <v>1</v>
      </c>
      <c r="C115" s="384">
        <f>'TT entry &amp; transportation'!$K$184</f>
        <v>4</v>
      </c>
      <c r="D115" s="972">
        <f>C115*$B$118</f>
        <v>14905.48</v>
      </c>
      <c r="E115" s="627"/>
      <c r="F115" s="722" t="s">
        <v>1</v>
      </c>
      <c r="G115" s="391"/>
      <c r="H115" s="593"/>
    </row>
    <row r="116" spans="1:8" s="487" customFormat="1" ht="14.4" x14ac:dyDescent="0.3">
      <c r="A116" s="134" t="s">
        <v>24</v>
      </c>
      <c r="B116" s="475" t="s">
        <v>1</v>
      </c>
      <c r="C116" s="384">
        <f>'TT entry &amp; transportation'!K201</f>
        <v>1</v>
      </c>
      <c r="D116" s="972">
        <f>'TT entry &amp; transportation'!L201</f>
        <v>3726.37</v>
      </c>
      <c r="E116" s="627"/>
      <c r="F116" s="175"/>
      <c r="G116" s="391"/>
      <c r="H116" s="593"/>
    </row>
    <row r="117" spans="1:8" ht="14.4" x14ac:dyDescent="0.3">
      <c r="A117" s="1045" t="s">
        <v>518</v>
      </c>
      <c r="B117" s="1046"/>
      <c r="C117" s="360">
        <f>SUM(C115:C115)</f>
        <v>4</v>
      </c>
      <c r="D117" s="361">
        <f>SUM(D115:D116)</f>
        <v>18631.849999999999</v>
      </c>
      <c r="E117" s="598" t="s">
        <v>1</v>
      </c>
      <c r="F117" s="424" t="s">
        <v>532</v>
      </c>
      <c r="G117" s="425"/>
      <c r="H117" s="425">
        <f>'TT entry &amp; transportation'!L184+'TT entry &amp; transportation'!L201</f>
        <v>18631.849999999999</v>
      </c>
    </row>
    <row r="118" spans="1:8" x14ac:dyDescent="0.25">
      <c r="A118" s="409" t="s">
        <v>596</v>
      </c>
      <c r="B118" s="448">
        <f>'TT entry &amp; transportation'!$B$266</f>
        <v>3726.3709260000001</v>
      </c>
      <c r="C118" s="385" t="s">
        <v>1</v>
      </c>
      <c r="D118" s="175"/>
      <c r="E118" s="597" t="s">
        <v>1</v>
      </c>
      <c r="F118" s="427" t="s">
        <v>533</v>
      </c>
      <c r="G118" s="175"/>
      <c r="H118" s="428">
        <f>'Payment T&amp;T LAWSON'!$I$68</f>
        <v>18631.849999999999</v>
      </c>
    </row>
    <row r="119" spans="1:8" ht="14.4" x14ac:dyDescent="0.3">
      <c r="A119" s="410"/>
      <c r="B119" s="411"/>
      <c r="C119" s="175"/>
      <c r="D119" s="175"/>
      <c r="E119" s="176"/>
      <c r="F119" s="175"/>
      <c r="G119" s="175"/>
      <c r="H119" s="363"/>
    </row>
    <row r="120" spans="1:8" ht="14.4" x14ac:dyDescent="0.3">
      <c r="A120" s="1049" t="s">
        <v>523</v>
      </c>
      <c r="B120" s="1050"/>
      <c r="C120" s="412">
        <f>'CTE TRANS'!$AL$69</f>
        <v>1918.2</v>
      </c>
      <c r="D120" s="150"/>
      <c r="E120" s="597" t="s">
        <v>1</v>
      </c>
      <c r="F120" s="427" t="s">
        <v>533</v>
      </c>
      <c r="H120" s="429">
        <f>'Payment T&amp;T LAWSON'!$K$68</f>
        <v>1918.2</v>
      </c>
    </row>
    <row r="121" spans="1:8" x14ac:dyDescent="0.25">
      <c r="A121" s="413"/>
      <c r="B121" s="150"/>
      <c r="C121" s="150"/>
      <c r="D121" s="150"/>
      <c r="E121" s="406"/>
    </row>
    <row r="122" spans="1:8" ht="14.4" x14ac:dyDescent="0.3">
      <c r="A122" s="1049" t="s">
        <v>524</v>
      </c>
      <c r="B122" s="1050"/>
      <c r="C122" s="371" t="s">
        <v>1</v>
      </c>
      <c r="D122" s="372" t="s">
        <v>1</v>
      </c>
      <c r="E122" s="406"/>
    </row>
    <row r="123" spans="1:8" x14ac:dyDescent="0.25">
      <c r="A123" s="413"/>
      <c r="B123" s="150"/>
      <c r="C123" s="373">
        <f>D117</f>
        <v>18631.849999999999</v>
      </c>
      <c r="D123" s="374" t="s">
        <v>167</v>
      </c>
      <c r="E123" s="406"/>
    </row>
    <row r="124" spans="1:8" ht="14.4" x14ac:dyDescent="0.3">
      <c r="A124" s="414" t="s">
        <v>1</v>
      </c>
      <c r="B124" s="375"/>
      <c r="C124" s="386">
        <f>C120</f>
        <v>1918.2</v>
      </c>
      <c r="D124" s="377" t="s">
        <v>526</v>
      </c>
      <c r="E124" s="406"/>
    </row>
    <row r="125" spans="1:8" ht="14.4" x14ac:dyDescent="0.3">
      <c r="A125" s="1045" t="s">
        <v>527</v>
      </c>
      <c r="B125" s="1046"/>
      <c r="C125" s="1047">
        <f>SUM(C123:C124)</f>
        <v>20550.05</v>
      </c>
      <c r="D125" s="1048"/>
      <c r="E125" s="597" t="s">
        <v>1</v>
      </c>
      <c r="F125" s="427" t="s">
        <v>533</v>
      </c>
      <c r="H125" s="425">
        <f>'Payment T&amp;T LAWSON'!$N$68</f>
        <v>20550.05</v>
      </c>
    </row>
    <row r="126" spans="1:8" x14ac:dyDescent="0.25">
      <c r="A126" s="415"/>
      <c r="B126" s="372"/>
      <c r="C126" s="372"/>
      <c r="D126" s="372"/>
      <c r="E126" s="416"/>
    </row>
    <row r="127" spans="1:8" x14ac:dyDescent="0.25">
      <c r="A127" s="262"/>
      <c r="B127" s="248"/>
    </row>
    <row r="128" spans="1:8" x14ac:dyDescent="0.25">
      <c r="A128" s="248" t="s">
        <v>1</v>
      </c>
      <c r="B128" s="248" t="s">
        <v>1</v>
      </c>
    </row>
    <row r="129" spans="1:8" ht="15.6" x14ac:dyDescent="0.3">
      <c r="A129" s="1051" t="s">
        <v>655</v>
      </c>
      <c r="B129" s="1052"/>
      <c r="C129" s="1052"/>
      <c r="D129" s="1052"/>
      <c r="E129" s="1053"/>
      <c r="F129" s="586"/>
      <c r="G129" s="586"/>
      <c r="H129" s="586"/>
    </row>
    <row r="130" spans="1:8" ht="15.6" x14ac:dyDescent="0.3">
      <c r="A130" s="1054" t="str">
        <f>'Payment Breakdowns'!$A$2:$F$2</f>
        <v xml:space="preserve">School Year 2020-2021 </v>
      </c>
      <c r="B130" s="1055"/>
      <c r="C130" s="1055"/>
      <c r="D130" s="1055"/>
      <c r="E130" s="1056"/>
      <c r="F130" s="586"/>
      <c r="G130" s="586"/>
      <c r="H130" s="586"/>
    </row>
    <row r="131" spans="1:8" x14ac:dyDescent="0.25">
      <c r="A131" s="1037" t="s">
        <v>513</v>
      </c>
      <c r="B131" s="1038"/>
      <c r="C131" s="150"/>
      <c r="D131" s="150"/>
      <c r="E131" s="406"/>
    </row>
    <row r="132" spans="1:8" s="487" customFormat="1" ht="14.4" x14ac:dyDescent="0.3">
      <c r="A132" s="407"/>
      <c r="B132" s="353"/>
      <c r="C132" s="354" t="s">
        <v>514</v>
      </c>
      <c r="D132" s="355" t="s">
        <v>515</v>
      </c>
      <c r="E132" s="625"/>
      <c r="F132" s="396"/>
      <c r="G132" s="388"/>
      <c r="H132" s="388"/>
    </row>
    <row r="133" spans="1:8" s="487" customFormat="1" ht="14.4" x14ac:dyDescent="0.3">
      <c r="A133" s="407"/>
      <c r="B133" s="353"/>
      <c r="C133" s="356" t="s">
        <v>516</v>
      </c>
      <c r="D133" s="357" t="s">
        <v>517</v>
      </c>
      <c r="E133" s="626"/>
      <c r="F133" s="389"/>
      <c r="G133" s="390"/>
      <c r="H133" s="390"/>
    </row>
    <row r="134" spans="1:8" s="487" customFormat="1" ht="14.4" x14ac:dyDescent="0.3">
      <c r="A134" s="130" t="s">
        <v>656</v>
      </c>
      <c r="B134" s="475"/>
      <c r="C134" s="384">
        <f>'TT entry &amp; transportation'!K190</f>
        <v>7</v>
      </c>
      <c r="D134" s="444">
        <f>'TT entry &amp; transportation'!L190</f>
        <v>26084.6</v>
      </c>
      <c r="E134" s="627"/>
      <c r="F134" s="175"/>
      <c r="G134" s="391"/>
      <c r="H134" s="593"/>
    </row>
    <row r="135" spans="1:8" s="487" customFormat="1" ht="14.4" x14ac:dyDescent="0.3">
      <c r="A135" s="130" t="s">
        <v>657</v>
      </c>
      <c r="B135" s="475"/>
      <c r="C135" s="384">
        <f>'TT entry &amp; transportation'!K191</f>
        <v>1</v>
      </c>
      <c r="D135" s="444">
        <f>'TT entry &amp; transportation'!L191</f>
        <v>3726.37</v>
      </c>
      <c r="E135" s="627"/>
      <c r="F135" s="175"/>
      <c r="G135" s="391"/>
      <c r="H135" s="593"/>
    </row>
    <row r="136" spans="1:8" s="487" customFormat="1" ht="14.4" x14ac:dyDescent="0.3">
      <c r="A136" s="130" t="s">
        <v>765</v>
      </c>
      <c r="B136" s="475"/>
      <c r="C136" s="384">
        <f>'TT entry &amp; transportation'!K192</f>
        <v>1</v>
      </c>
      <c r="D136" s="444">
        <f>'TT entry &amp; transportation'!L192</f>
        <v>3726.37</v>
      </c>
      <c r="E136" s="627"/>
      <c r="F136" s="175"/>
      <c r="G136" s="391"/>
      <c r="H136" s="593"/>
    </row>
    <row r="137" spans="1:8" s="864" customFormat="1" ht="14.4" x14ac:dyDescent="0.3">
      <c r="A137" s="130" t="s">
        <v>899</v>
      </c>
      <c r="B137" s="475"/>
      <c r="C137" s="384">
        <f>'TT entry &amp; transportation'!K193</f>
        <v>1</v>
      </c>
      <c r="D137" s="444">
        <f>'TT entry &amp; transportation'!L193</f>
        <v>3726.37</v>
      </c>
      <c r="E137" s="627"/>
      <c r="F137" s="175"/>
      <c r="G137" s="391"/>
      <c r="H137" s="593"/>
    </row>
    <row r="138" spans="1:8" s="487" customFormat="1" ht="14.4" x14ac:dyDescent="0.3">
      <c r="A138" s="582" t="s">
        <v>518</v>
      </c>
      <c r="B138" s="583"/>
      <c r="C138" s="360">
        <f>SUM(C134:C137)</f>
        <v>10</v>
      </c>
      <c r="D138" s="361">
        <f>SUM(D134:D137)</f>
        <v>37263.71</v>
      </c>
      <c r="E138" s="598" t="s">
        <v>1</v>
      </c>
      <c r="F138" s="424" t="s">
        <v>532</v>
      </c>
      <c r="G138" s="425"/>
      <c r="H138" s="425">
        <f>'TT entry &amp; transportation'!L190+'TT entry &amp; transportation'!L191+'TT entry &amp; transportation'!L192+'TT entry &amp; transportation'!L193</f>
        <v>37263.71</v>
      </c>
    </row>
    <row r="139" spans="1:8" s="487" customFormat="1" x14ac:dyDescent="0.25">
      <c r="A139" s="409" t="s">
        <v>596</v>
      </c>
      <c r="B139" s="448">
        <f>'TT entry &amp; transportation'!$B$266</f>
        <v>3726.3709260000001</v>
      </c>
      <c r="C139" s="385" t="s">
        <v>1</v>
      </c>
      <c r="D139" s="175"/>
      <c r="E139" s="597" t="s">
        <v>1</v>
      </c>
      <c r="F139" s="427" t="s">
        <v>533</v>
      </c>
      <c r="G139" s="175"/>
      <c r="H139" s="428">
        <f>'Payment T&amp;T LAWSON'!I8+'Payment T&amp;T LAWSON'!I9+'Payment T&amp;T LAWSON'!I62+'Payment T&amp;T LAWSON'!I77</f>
        <v>37263.71</v>
      </c>
    </row>
    <row r="140" spans="1:8" ht="14.4" x14ac:dyDescent="0.3">
      <c r="A140" s="410"/>
      <c r="B140" s="411"/>
      <c r="C140" s="175"/>
      <c r="D140" s="175"/>
      <c r="E140" s="176"/>
      <c r="F140" s="175"/>
      <c r="G140" s="175"/>
      <c r="H140" s="363"/>
    </row>
    <row r="141" spans="1:8" ht="14.4" x14ac:dyDescent="0.3">
      <c r="A141" s="1049" t="s">
        <v>523</v>
      </c>
      <c r="B141" s="1050"/>
      <c r="C141" s="412" t="s">
        <v>1</v>
      </c>
      <c r="D141" s="150"/>
      <c r="E141" s="597" t="s">
        <v>1</v>
      </c>
      <c r="F141" s="427" t="s">
        <v>1</v>
      </c>
      <c r="H141" s="429" t="s">
        <v>1</v>
      </c>
    </row>
    <row r="142" spans="1:8" s="487" customFormat="1" ht="14.4" x14ac:dyDescent="0.3">
      <c r="A142" s="130" t="s">
        <v>656</v>
      </c>
      <c r="B142" s="581"/>
      <c r="C142" s="412">
        <f>'TT entry &amp; transportation'!P190</f>
        <v>1179.9000000000001</v>
      </c>
      <c r="D142" s="150"/>
      <c r="E142" s="597"/>
      <c r="F142" s="427"/>
      <c r="G142" s="150"/>
      <c r="H142" s="429"/>
    </row>
    <row r="143" spans="1:8" s="487" customFormat="1" ht="14.4" x14ac:dyDescent="0.3">
      <c r="A143" s="130" t="s">
        <v>657</v>
      </c>
      <c r="B143" s="581"/>
      <c r="C143" s="412">
        <f>'TT entry &amp; transportation'!P191</f>
        <v>304.2</v>
      </c>
      <c r="D143" s="150"/>
      <c r="E143" s="597"/>
      <c r="F143" s="427"/>
      <c r="G143" s="150"/>
      <c r="H143" s="429"/>
    </row>
    <row r="144" spans="1:8" s="487" customFormat="1" ht="14.4" x14ac:dyDescent="0.3">
      <c r="A144" s="130" t="s">
        <v>765</v>
      </c>
      <c r="B144" s="656"/>
      <c r="C144" s="412">
        <f>'TT entry &amp; transportation'!P192</f>
        <v>0</v>
      </c>
      <c r="D144" s="150"/>
      <c r="E144" s="597"/>
      <c r="F144" s="427"/>
      <c r="G144" s="150"/>
      <c r="H144" s="429"/>
    </row>
    <row r="145" spans="1:8" s="864" customFormat="1" ht="14.4" x14ac:dyDescent="0.3">
      <c r="A145" s="130" t="s">
        <v>899</v>
      </c>
      <c r="B145" s="954"/>
      <c r="C145" s="412">
        <f>'TT entry &amp; transportation'!P193</f>
        <v>155.69999999999999</v>
      </c>
      <c r="D145" s="150"/>
      <c r="E145" s="597"/>
      <c r="F145" s="427"/>
      <c r="G145" s="150"/>
      <c r="H145" s="429"/>
    </row>
    <row r="146" spans="1:8" s="487" customFormat="1" ht="14.4" x14ac:dyDescent="0.3">
      <c r="A146" s="582" t="s">
        <v>555</v>
      </c>
      <c r="B146" s="583"/>
      <c r="C146" s="628">
        <f>SUM(C142:C145)</f>
        <v>1639.8</v>
      </c>
      <c r="D146" s="456" t="s">
        <v>1</v>
      </c>
      <c r="E146" s="597" t="s">
        <v>1</v>
      </c>
      <c r="F146" s="424" t="s">
        <v>532</v>
      </c>
      <c r="G146" s="425"/>
      <c r="H146" s="425">
        <f>'TT entry &amp; transportation'!P190+'TT entry &amp; transportation'!P191+'TT entry &amp; transportation'!P192+'TT entry &amp; transportation'!P193</f>
        <v>1639.8</v>
      </c>
    </row>
    <row r="147" spans="1:8" x14ac:dyDescent="0.25">
      <c r="A147" s="413"/>
      <c r="B147" s="150"/>
      <c r="C147" s="150"/>
      <c r="D147" s="150"/>
      <c r="E147" s="406"/>
      <c r="F147" s="427" t="s">
        <v>533</v>
      </c>
      <c r="H147" s="429">
        <f>'Payment T&amp;T LAWSON'!K8+'Payment T&amp;T LAWSON'!K9+'Payment T&amp;T LAWSON'!K62+'Payment T&amp;T LAWSON'!K77</f>
        <v>1639.8</v>
      </c>
    </row>
    <row r="148" spans="1:8" ht="14.4" x14ac:dyDescent="0.3">
      <c r="A148" s="1049" t="s">
        <v>524</v>
      </c>
      <c r="B148" s="1050"/>
      <c r="C148" s="371" t="s">
        <v>1</v>
      </c>
      <c r="D148" s="372" t="s">
        <v>1</v>
      </c>
      <c r="E148" s="406"/>
    </row>
    <row r="149" spans="1:8" x14ac:dyDescent="0.25">
      <c r="A149" s="413"/>
      <c r="B149" s="150"/>
      <c r="C149" s="373">
        <f>D138</f>
        <v>37263.71</v>
      </c>
      <c r="D149" s="374" t="s">
        <v>167</v>
      </c>
      <c r="E149" s="406"/>
    </row>
    <row r="150" spans="1:8" ht="14.4" x14ac:dyDescent="0.3">
      <c r="A150" s="414" t="s">
        <v>1</v>
      </c>
      <c r="B150" s="375"/>
      <c r="C150" s="386">
        <f>C146</f>
        <v>1639.8</v>
      </c>
      <c r="D150" s="377" t="s">
        <v>526</v>
      </c>
      <c r="E150" s="406"/>
    </row>
    <row r="151" spans="1:8" ht="14.4" x14ac:dyDescent="0.3">
      <c r="A151" s="1045" t="s">
        <v>527</v>
      </c>
      <c r="B151" s="1046"/>
      <c r="C151" s="1047">
        <f>SUM(C149:C150)</f>
        <v>38903.51</v>
      </c>
      <c r="D151" s="1048"/>
      <c r="E151" s="597" t="s">
        <v>1</v>
      </c>
      <c r="F151" s="427" t="s">
        <v>533</v>
      </c>
      <c r="H151" s="425">
        <f>'Payment T&amp;T LAWSON'!N8+'Payment T&amp;T LAWSON'!N9+'Payment T&amp;T LAWSON'!N62+'Payment T&amp;T LAWSON'!N77</f>
        <v>38903.51</v>
      </c>
    </row>
    <row r="152" spans="1:8" x14ac:dyDescent="0.25">
      <c r="A152" s="415"/>
      <c r="B152" s="372"/>
      <c r="C152" s="372"/>
      <c r="D152" s="372"/>
      <c r="E152" s="416"/>
    </row>
    <row r="155" spans="1:8" ht="15.6" x14ac:dyDescent="0.3">
      <c r="A155" s="1051" t="s">
        <v>649</v>
      </c>
      <c r="B155" s="1052"/>
      <c r="C155" s="1052"/>
      <c r="D155" s="1052"/>
      <c r="E155" s="1053"/>
      <c r="F155" s="586"/>
      <c r="G155" s="586"/>
      <c r="H155" s="586"/>
    </row>
    <row r="156" spans="1:8" ht="15.6" x14ac:dyDescent="0.3">
      <c r="A156" s="1054" t="str">
        <f>'Payment Breakdowns'!$A$2:$F$2</f>
        <v xml:space="preserve">School Year 2020-2021 </v>
      </c>
      <c r="B156" s="1055"/>
      <c r="C156" s="1055"/>
      <c r="D156" s="1055"/>
      <c r="E156" s="1056"/>
      <c r="F156" s="586"/>
      <c r="G156" s="586"/>
      <c r="H156" s="586"/>
    </row>
    <row r="157" spans="1:8" x14ac:dyDescent="0.25">
      <c r="A157" s="1037" t="s">
        <v>513</v>
      </c>
      <c r="B157" s="1038"/>
      <c r="C157" s="150"/>
      <c r="D157" s="150"/>
      <c r="E157" s="406"/>
    </row>
    <row r="158" spans="1:8" ht="14.4" x14ac:dyDescent="0.3">
      <c r="A158" s="407"/>
      <c r="B158" s="353"/>
      <c r="C158" s="354" t="s">
        <v>514</v>
      </c>
      <c r="D158" s="355" t="s">
        <v>515</v>
      </c>
      <c r="E158" s="625"/>
      <c r="F158" s="396"/>
      <c r="G158" s="388"/>
      <c r="H158" s="388"/>
    </row>
    <row r="159" spans="1:8" ht="14.4" x14ac:dyDescent="0.3">
      <c r="A159" s="407"/>
      <c r="B159" s="353"/>
      <c r="C159" s="356" t="s">
        <v>516</v>
      </c>
      <c r="D159" s="357" t="s">
        <v>517</v>
      </c>
      <c r="E159" s="626"/>
      <c r="F159" s="389"/>
      <c r="G159" s="390"/>
      <c r="H159" s="390"/>
    </row>
    <row r="160" spans="1:8" ht="14.4" x14ac:dyDescent="0.3">
      <c r="A160" s="137" t="s">
        <v>24</v>
      </c>
      <c r="B160" s="475" t="s">
        <v>1</v>
      </c>
      <c r="C160" s="384">
        <f>'TT entry &amp; transportation'!$K$195</f>
        <v>41.5</v>
      </c>
      <c r="D160" s="358">
        <f>C160*$B$162</f>
        <v>154644.39000000001</v>
      </c>
      <c r="E160" s="627"/>
      <c r="F160" s="175"/>
      <c r="G160" s="391"/>
      <c r="H160" s="593"/>
    </row>
    <row r="161" spans="1:8" ht="14.4" x14ac:dyDescent="0.3">
      <c r="A161" s="1045" t="s">
        <v>518</v>
      </c>
      <c r="B161" s="1046"/>
      <c r="C161" s="360">
        <f>SUM(C160:C160)</f>
        <v>41.5</v>
      </c>
      <c r="D161" s="361">
        <f>SUM(D160:D160)</f>
        <v>154644.39000000001</v>
      </c>
      <c r="E161" s="598" t="s">
        <v>1</v>
      </c>
      <c r="F161" s="424" t="s">
        <v>532</v>
      </c>
      <c r="G161" s="425"/>
      <c r="H161" s="425">
        <f>'TT entry &amp; transportation'!$L$195</f>
        <v>154644.39000000001</v>
      </c>
    </row>
    <row r="162" spans="1:8" x14ac:dyDescent="0.25">
      <c r="A162" s="409" t="s">
        <v>596</v>
      </c>
      <c r="B162" s="448">
        <f>'TT entry &amp; transportation'!$B$266</f>
        <v>3726.3709260000001</v>
      </c>
      <c r="C162" s="385" t="s">
        <v>1</v>
      </c>
      <c r="D162" s="175"/>
      <c r="E162" s="597" t="s">
        <v>1</v>
      </c>
      <c r="F162" s="427" t="s">
        <v>533</v>
      </c>
      <c r="G162" s="175"/>
      <c r="H162" s="428">
        <f>'Payment T&amp;T LAWSON'!$I$43</f>
        <v>154644.39000000001</v>
      </c>
    </row>
    <row r="163" spans="1:8" ht="14.4" x14ac:dyDescent="0.3">
      <c r="A163" s="410"/>
      <c r="B163" s="411"/>
      <c r="C163" s="175"/>
      <c r="D163" s="175"/>
      <c r="E163" s="176"/>
      <c r="F163" s="175"/>
      <c r="G163" s="175"/>
      <c r="H163" s="363"/>
    </row>
    <row r="164" spans="1:8" ht="14.4" x14ac:dyDescent="0.3">
      <c r="A164" s="1049" t="s">
        <v>523</v>
      </c>
      <c r="B164" s="1050"/>
      <c r="C164" s="412">
        <f>'CTE TRANS'!$AL$44</f>
        <v>19248</v>
      </c>
      <c r="D164" s="150"/>
      <c r="E164" s="597" t="s">
        <v>1</v>
      </c>
      <c r="F164" s="427" t="s">
        <v>533</v>
      </c>
      <c r="H164" s="429">
        <f>'Payment T&amp;T LAWSON'!$K$43</f>
        <v>19248</v>
      </c>
    </row>
    <row r="165" spans="1:8" x14ac:dyDescent="0.25">
      <c r="A165" s="413"/>
      <c r="B165" s="150"/>
      <c r="C165" s="150"/>
      <c r="D165" s="150"/>
      <c r="E165" s="406"/>
    </row>
    <row r="166" spans="1:8" ht="14.4" x14ac:dyDescent="0.3">
      <c r="A166" s="1049" t="s">
        <v>524</v>
      </c>
      <c r="B166" s="1050"/>
      <c r="C166" s="371" t="s">
        <v>1</v>
      </c>
      <c r="D166" s="372" t="s">
        <v>1</v>
      </c>
      <c r="E166" s="406"/>
    </row>
    <row r="167" spans="1:8" x14ac:dyDescent="0.25">
      <c r="A167" s="413"/>
      <c r="B167" s="150"/>
      <c r="C167" s="373">
        <f>D161</f>
        <v>154644.39000000001</v>
      </c>
      <c r="D167" s="374" t="s">
        <v>167</v>
      </c>
      <c r="E167" s="406"/>
    </row>
    <row r="168" spans="1:8" ht="14.4" x14ac:dyDescent="0.3">
      <c r="A168" s="414" t="s">
        <v>1</v>
      </c>
      <c r="B168" s="375"/>
      <c r="C168" s="386">
        <f>C164</f>
        <v>19248</v>
      </c>
      <c r="D168" s="377" t="s">
        <v>526</v>
      </c>
      <c r="E168" s="406"/>
    </row>
    <row r="169" spans="1:8" ht="14.4" x14ac:dyDescent="0.3">
      <c r="A169" s="1045" t="s">
        <v>527</v>
      </c>
      <c r="B169" s="1046"/>
      <c r="C169" s="1047">
        <f>SUM(C167:C168)</f>
        <v>173892.39</v>
      </c>
      <c r="D169" s="1048"/>
      <c r="E169" s="597" t="s">
        <v>1</v>
      </c>
      <c r="F169" s="427" t="s">
        <v>533</v>
      </c>
      <c r="H169" s="425">
        <f>'Payment T&amp;T LAWSON'!$N$43</f>
        <v>173892.39</v>
      </c>
    </row>
    <row r="170" spans="1:8" x14ac:dyDescent="0.25">
      <c r="A170" s="415"/>
      <c r="B170" s="372"/>
      <c r="C170" s="372"/>
      <c r="D170" s="372"/>
      <c r="E170" s="416"/>
    </row>
    <row r="173" spans="1:8" ht="15.6" x14ac:dyDescent="0.3">
      <c r="A173" s="1051" t="s">
        <v>647</v>
      </c>
      <c r="B173" s="1052"/>
      <c r="C173" s="1052"/>
      <c r="D173" s="1052"/>
      <c r="E173" s="1053"/>
      <c r="F173" s="586"/>
      <c r="G173" s="586"/>
      <c r="H173" s="586"/>
    </row>
    <row r="174" spans="1:8" ht="15.6" x14ac:dyDescent="0.3">
      <c r="A174" s="1054" t="str">
        <f>'Payment Breakdowns'!$A$2:$F$2</f>
        <v xml:space="preserve">School Year 2020-2021 </v>
      </c>
      <c r="B174" s="1055"/>
      <c r="C174" s="1055"/>
      <c r="D174" s="1055"/>
      <c r="E174" s="1056"/>
      <c r="F174" s="586"/>
      <c r="G174" s="586"/>
      <c r="H174" s="586"/>
    </row>
    <row r="175" spans="1:8" x14ac:dyDescent="0.25">
      <c r="A175" s="1037" t="s">
        <v>513</v>
      </c>
      <c r="B175" s="1038"/>
      <c r="C175" s="150"/>
      <c r="D175" s="150"/>
      <c r="E175" s="406"/>
    </row>
    <row r="176" spans="1:8" ht="14.4" x14ac:dyDescent="0.3">
      <c r="A176" s="407"/>
      <c r="B176" s="353"/>
      <c r="C176" s="354" t="s">
        <v>514</v>
      </c>
      <c r="D176" s="355" t="s">
        <v>515</v>
      </c>
      <c r="E176" s="625"/>
      <c r="F176" s="396"/>
      <c r="G176" s="388"/>
      <c r="H176" s="388"/>
    </row>
    <row r="177" spans="1:8" ht="14.4" x14ac:dyDescent="0.3">
      <c r="A177" s="407"/>
      <c r="B177" s="353"/>
      <c r="C177" s="356" t="s">
        <v>516</v>
      </c>
      <c r="D177" s="357" t="s">
        <v>517</v>
      </c>
      <c r="E177" s="626"/>
      <c r="F177" s="389"/>
      <c r="G177" s="390"/>
      <c r="H177" s="390"/>
    </row>
    <row r="178" spans="1:8" ht="14.4" x14ac:dyDescent="0.3">
      <c r="A178" s="134" t="s">
        <v>24</v>
      </c>
      <c r="B178" s="475" t="s">
        <v>272</v>
      </c>
      <c r="C178" s="384">
        <f>'TT entry &amp; transportation'!$K$196</f>
        <v>9</v>
      </c>
      <c r="D178" s="358">
        <f>C178*$B$180</f>
        <v>33537.339999999997</v>
      </c>
      <c r="E178" s="627"/>
      <c r="F178" s="175"/>
      <c r="G178" s="391"/>
      <c r="H178" s="593"/>
    </row>
    <row r="179" spans="1:8" ht="14.4" x14ac:dyDescent="0.3">
      <c r="A179" s="1045" t="s">
        <v>518</v>
      </c>
      <c r="B179" s="1046"/>
      <c r="C179" s="360">
        <f>SUM(C178:C178)</f>
        <v>9</v>
      </c>
      <c r="D179" s="361">
        <f>SUM(D178:D178)</f>
        <v>33537.339999999997</v>
      </c>
      <c r="E179" s="598" t="s">
        <v>1</v>
      </c>
      <c r="F179" s="424" t="s">
        <v>532</v>
      </c>
      <c r="G179" s="425"/>
      <c r="H179" s="425">
        <f>'TT entry &amp; transportation'!$L$196</f>
        <v>33537.339999999997</v>
      </c>
    </row>
    <row r="180" spans="1:8" x14ac:dyDescent="0.25">
      <c r="A180" s="409" t="s">
        <v>596</v>
      </c>
      <c r="B180" s="448">
        <f>'TT entry &amp; transportation'!$B$266</f>
        <v>3726.3709260000001</v>
      </c>
      <c r="C180" s="385" t="s">
        <v>1</v>
      </c>
      <c r="D180" s="175"/>
      <c r="E180" s="597" t="s">
        <v>1</v>
      </c>
      <c r="F180" s="427" t="s">
        <v>533</v>
      </c>
      <c r="G180" s="175"/>
      <c r="H180" s="428">
        <f>'Payment T&amp;T LAWSON'!$I$13</f>
        <v>33537.339999999997</v>
      </c>
    </row>
    <row r="181" spans="1:8" ht="14.4" x14ac:dyDescent="0.3">
      <c r="A181" s="410"/>
      <c r="B181" s="411"/>
      <c r="C181" s="175"/>
      <c r="D181" s="175"/>
      <c r="E181" s="176"/>
      <c r="F181" s="175"/>
      <c r="G181" s="175"/>
      <c r="H181" s="363"/>
    </row>
    <row r="182" spans="1:8" ht="14.4" x14ac:dyDescent="0.3">
      <c r="A182" s="1049" t="s">
        <v>523</v>
      </c>
      <c r="B182" s="1050"/>
      <c r="C182" s="412">
        <f>'CTE TRANS'!$AL$12</f>
        <v>1788</v>
      </c>
      <c r="D182" s="150"/>
      <c r="E182" s="597" t="s">
        <v>1</v>
      </c>
      <c r="F182" s="427" t="s">
        <v>533</v>
      </c>
      <c r="H182" s="429">
        <f>'Payment T&amp;T LAWSON'!$K$13</f>
        <v>1788</v>
      </c>
    </row>
    <row r="183" spans="1:8" x14ac:dyDescent="0.25">
      <c r="A183" s="413"/>
      <c r="B183" s="150"/>
      <c r="C183" s="150"/>
      <c r="D183" s="150"/>
      <c r="E183" s="406"/>
    </row>
    <row r="184" spans="1:8" ht="14.4" x14ac:dyDescent="0.3">
      <c r="A184" s="1049" t="s">
        <v>524</v>
      </c>
      <c r="B184" s="1050"/>
      <c r="C184" s="371" t="s">
        <v>1</v>
      </c>
      <c r="D184" s="372" t="s">
        <v>1</v>
      </c>
      <c r="E184" s="406"/>
    </row>
    <row r="185" spans="1:8" x14ac:dyDescent="0.25">
      <c r="A185" s="413"/>
      <c r="B185" s="150"/>
      <c r="C185" s="373">
        <f>D179</f>
        <v>33537.339999999997</v>
      </c>
      <c r="D185" s="374" t="s">
        <v>167</v>
      </c>
      <c r="E185" s="406"/>
    </row>
    <row r="186" spans="1:8" ht="14.4" x14ac:dyDescent="0.3">
      <c r="A186" s="414" t="s">
        <v>1</v>
      </c>
      <c r="B186" s="375"/>
      <c r="C186" s="386">
        <f>C182</f>
        <v>1788</v>
      </c>
      <c r="D186" s="377" t="s">
        <v>526</v>
      </c>
      <c r="E186" s="406"/>
    </row>
    <row r="187" spans="1:8" ht="14.4" x14ac:dyDescent="0.3">
      <c r="A187" s="1045" t="s">
        <v>527</v>
      </c>
      <c r="B187" s="1046"/>
      <c r="C187" s="1047">
        <f>SUM(C185:C186)</f>
        <v>35325.339999999997</v>
      </c>
      <c r="D187" s="1048"/>
      <c r="E187" s="597" t="s">
        <v>1</v>
      </c>
      <c r="F187" s="427" t="s">
        <v>533</v>
      </c>
      <c r="H187" s="425">
        <f>'Payment T&amp;T LAWSON'!$N$13</f>
        <v>35325.339999999997</v>
      </c>
    </row>
    <row r="188" spans="1:8" x14ac:dyDescent="0.25">
      <c r="A188" s="415"/>
      <c r="B188" s="372"/>
      <c r="C188" s="372"/>
      <c r="D188" s="372"/>
      <c r="E188" s="416"/>
    </row>
    <row r="191" spans="1:8" ht="15.6" x14ac:dyDescent="0.3">
      <c r="A191" s="1051" t="s">
        <v>646</v>
      </c>
      <c r="B191" s="1052"/>
      <c r="C191" s="1052"/>
      <c r="D191" s="1052"/>
      <c r="E191" s="1053"/>
      <c r="F191" s="586"/>
      <c r="G191" s="586"/>
      <c r="H191" s="586"/>
    </row>
    <row r="192" spans="1:8" ht="15.6" x14ac:dyDescent="0.3">
      <c r="A192" s="1054" t="str">
        <f>'Payment Breakdowns'!$A$2:$F$2</f>
        <v xml:space="preserve">School Year 2020-2021 </v>
      </c>
      <c r="B192" s="1055"/>
      <c r="C192" s="1055"/>
      <c r="D192" s="1055"/>
      <c r="E192" s="1056"/>
      <c r="F192" s="586"/>
      <c r="G192" s="586"/>
      <c r="H192" s="586"/>
    </row>
    <row r="193" spans="1:8" x14ac:dyDescent="0.25">
      <c r="A193" s="1037" t="s">
        <v>513</v>
      </c>
      <c r="B193" s="1038"/>
      <c r="C193" s="150"/>
      <c r="D193" s="150"/>
      <c r="E193" s="406"/>
    </row>
    <row r="194" spans="1:8" ht="14.4" x14ac:dyDescent="0.3">
      <c r="A194" s="407"/>
      <c r="B194" s="353"/>
      <c r="C194" s="354" t="s">
        <v>514</v>
      </c>
      <c r="D194" s="355" t="s">
        <v>515</v>
      </c>
      <c r="E194" s="625"/>
      <c r="F194" s="396"/>
      <c r="G194" s="388"/>
      <c r="H194" s="388"/>
    </row>
    <row r="195" spans="1:8" ht="14.4" x14ac:dyDescent="0.3">
      <c r="A195" s="407"/>
      <c r="B195" s="353"/>
      <c r="C195" s="356" t="s">
        <v>516</v>
      </c>
      <c r="D195" s="357" t="s">
        <v>517</v>
      </c>
      <c r="E195" s="626"/>
      <c r="F195" s="389"/>
      <c r="G195" s="390"/>
      <c r="H195" s="390"/>
    </row>
    <row r="196" spans="1:8" ht="14.4" x14ac:dyDescent="0.3">
      <c r="A196" s="134" t="s">
        <v>648</v>
      </c>
      <c r="B196" s="475"/>
      <c r="C196" s="384">
        <f>'TT entry &amp; transportation'!$K$198</f>
        <v>51.5</v>
      </c>
      <c r="D196" s="358">
        <f>C196*$B$198</f>
        <v>191908.1</v>
      </c>
      <c r="E196" s="627"/>
      <c r="F196" s="175"/>
      <c r="G196" s="391"/>
      <c r="H196" s="593"/>
    </row>
    <row r="197" spans="1:8" ht="14.4" x14ac:dyDescent="0.3">
      <c r="A197" s="1045" t="s">
        <v>518</v>
      </c>
      <c r="B197" s="1046"/>
      <c r="C197" s="360">
        <f>SUM(C196:C196)</f>
        <v>51.5</v>
      </c>
      <c r="D197" s="361">
        <f>SUM(D196:D196)</f>
        <v>191908.1</v>
      </c>
      <c r="E197" s="598" t="s">
        <v>1</v>
      </c>
      <c r="F197" s="424" t="s">
        <v>532</v>
      </c>
      <c r="G197" s="425"/>
      <c r="H197" s="425">
        <f>'TT entry &amp; transportation'!$L$198</f>
        <v>191908.1</v>
      </c>
    </row>
    <row r="198" spans="1:8" x14ac:dyDescent="0.25">
      <c r="A198" s="409" t="s">
        <v>596</v>
      </c>
      <c r="B198" s="448">
        <f>'TT entry &amp; transportation'!$B$266</f>
        <v>3726.3709260000001</v>
      </c>
      <c r="C198" s="385" t="s">
        <v>1</v>
      </c>
      <c r="D198" s="175"/>
      <c r="E198" s="597" t="s">
        <v>1</v>
      </c>
      <c r="F198" s="427" t="s">
        <v>533</v>
      </c>
      <c r="G198" s="175"/>
      <c r="H198" s="428">
        <f>'Payment T&amp;T LAWSON'!$I$34</f>
        <v>191908.1</v>
      </c>
    </row>
    <row r="199" spans="1:8" ht="14.4" x14ac:dyDescent="0.3">
      <c r="A199" s="410"/>
      <c r="B199" s="411"/>
      <c r="C199" s="175"/>
      <c r="D199" s="175"/>
      <c r="E199" s="176"/>
      <c r="F199" s="175"/>
      <c r="G199" s="175"/>
      <c r="H199" s="363"/>
    </row>
    <row r="200" spans="1:8" ht="14.4" x14ac:dyDescent="0.3">
      <c r="A200" s="1049" t="s">
        <v>523</v>
      </c>
      <c r="B200" s="1050"/>
      <c r="C200" s="412">
        <f>'CTE TRANS'!$AL$35</f>
        <v>9559.2000000000007</v>
      </c>
      <c r="D200" s="150"/>
      <c r="E200" s="597" t="s">
        <v>1</v>
      </c>
      <c r="F200" s="427" t="s">
        <v>533</v>
      </c>
      <c r="H200" s="429">
        <f>'Payment T&amp;T LAWSON'!$K$34</f>
        <v>9559.2000000000007</v>
      </c>
    </row>
    <row r="201" spans="1:8" x14ac:dyDescent="0.25">
      <c r="A201" s="413"/>
      <c r="B201" s="150"/>
      <c r="C201" s="150"/>
      <c r="D201" s="150"/>
      <c r="E201" s="406"/>
    </row>
    <row r="202" spans="1:8" ht="14.4" x14ac:dyDescent="0.3">
      <c r="A202" s="1049" t="s">
        <v>524</v>
      </c>
      <c r="B202" s="1050"/>
      <c r="C202" s="371" t="s">
        <v>1</v>
      </c>
      <c r="D202" s="372" t="s">
        <v>1</v>
      </c>
      <c r="E202" s="406"/>
    </row>
    <row r="203" spans="1:8" x14ac:dyDescent="0.25">
      <c r="A203" s="413"/>
      <c r="B203" s="150"/>
      <c r="C203" s="373">
        <f>D197</f>
        <v>191908.1</v>
      </c>
      <c r="D203" s="374" t="s">
        <v>167</v>
      </c>
      <c r="E203" s="406"/>
    </row>
    <row r="204" spans="1:8" ht="14.4" x14ac:dyDescent="0.3">
      <c r="A204" s="414" t="s">
        <v>1</v>
      </c>
      <c r="B204" s="375"/>
      <c r="C204" s="386">
        <f>C200</f>
        <v>9559.2000000000007</v>
      </c>
      <c r="D204" s="377" t="s">
        <v>526</v>
      </c>
      <c r="E204" s="406"/>
    </row>
    <row r="205" spans="1:8" ht="14.4" x14ac:dyDescent="0.3">
      <c r="A205" s="1045" t="s">
        <v>527</v>
      </c>
      <c r="B205" s="1046"/>
      <c r="C205" s="1047">
        <f>SUM(C203:C204)</f>
        <v>201467.3</v>
      </c>
      <c r="D205" s="1048"/>
      <c r="E205" s="597" t="s">
        <v>1</v>
      </c>
      <c r="F205" s="427" t="s">
        <v>533</v>
      </c>
      <c r="H205" s="425">
        <f>'Payment T&amp;T LAWSON'!$N$34</f>
        <v>201467.3</v>
      </c>
    </row>
    <row r="206" spans="1:8" x14ac:dyDescent="0.25">
      <c r="A206" s="415"/>
      <c r="B206" s="372"/>
      <c r="C206" s="372"/>
      <c r="D206" s="372"/>
      <c r="E206" s="416"/>
    </row>
    <row r="208" spans="1:8" s="487" customFormat="1" ht="15.6" x14ac:dyDescent="0.3">
      <c r="A208" s="1051" t="s">
        <v>766</v>
      </c>
      <c r="B208" s="1052"/>
      <c r="C208" s="1052"/>
      <c r="D208" s="1052"/>
      <c r="E208" s="1053"/>
      <c r="F208" s="586"/>
      <c r="G208" s="586"/>
      <c r="H208" s="586"/>
    </row>
    <row r="209" spans="1:8" s="487" customFormat="1" ht="15.6" x14ac:dyDescent="0.3">
      <c r="A209" s="1054" t="str">
        <f>'Payment Breakdowns'!$A$2:$F$2</f>
        <v xml:space="preserve">School Year 2020-2021 </v>
      </c>
      <c r="B209" s="1055"/>
      <c r="C209" s="1055"/>
      <c r="D209" s="1055"/>
      <c r="E209" s="1056"/>
      <c r="F209" s="586"/>
      <c r="G209" s="586"/>
      <c r="H209" s="586"/>
    </row>
    <row r="210" spans="1:8" s="487" customFormat="1" x14ac:dyDescent="0.25">
      <c r="A210" s="1037" t="s">
        <v>513</v>
      </c>
      <c r="B210" s="1038"/>
      <c r="C210" s="150"/>
      <c r="D210" s="150"/>
      <c r="E210" s="406"/>
      <c r="F210" s="150"/>
      <c r="G210" s="150"/>
      <c r="H210" s="150"/>
    </row>
    <row r="211" spans="1:8" s="487" customFormat="1" ht="14.4" x14ac:dyDescent="0.3">
      <c r="A211" s="407"/>
      <c r="B211" s="353"/>
      <c r="C211" s="354" t="s">
        <v>514</v>
      </c>
      <c r="D211" s="355" t="s">
        <v>515</v>
      </c>
      <c r="E211" s="625"/>
      <c r="F211" s="396"/>
      <c r="G211" s="388"/>
      <c r="H211" s="388"/>
    </row>
    <row r="212" spans="1:8" s="487" customFormat="1" ht="14.4" x14ac:dyDescent="0.3">
      <c r="A212" s="407"/>
      <c r="B212" s="353"/>
      <c r="C212" s="356" t="s">
        <v>516</v>
      </c>
      <c r="D212" s="357" t="s">
        <v>517</v>
      </c>
      <c r="E212" s="626"/>
      <c r="F212" s="389"/>
      <c r="G212" s="390"/>
      <c r="H212" s="390"/>
    </row>
    <row r="213" spans="1:8" s="487" customFormat="1" ht="14.4" x14ac:dyDescent="0.3">
      <c r="A213" s="134" t="s">
        <v>24</v>
      </c>
      <c r="B213" s="475"/>
      <c r="C213" s="384">
        <f>'TT entry &amp; transportation'!K197</f>
        <v>0</v>
      </c>
      <c r="D213" s="358">
        <f>'TT entry &amp; transportation'!L197</f>
        <v>0</v>
      </c>
      <c r="E213" s="627"/>
      <c r="F213" s="175"/>
      <c r="G213" s="391"/>
      <c r="H213" s="593"/>
    </row>
    <row r="214" spans="1:8" s="487" customFormat="1" ht="14.4" x14ac:dyDescent="0.3">
      <c r="A214" s="1045" t="s">
        <v>518</v>
      </c>
      <c r="B214" s="1046"/>
      <c r="C214" s="360">
        <f>SUM(C213:C213)</f>
        <v>0</v>
      </c>
      <c r="D214" s="361">
        <f>SUM(D213:D213)</f>
        <v>0</v>
      </c>
      <c r="E214" s="598" t="s">
        <v>1</v>
      </c>
      <c r="F214" s="424" t="s">
        <v>532</v>
      </c>
      <c r="G214" s="425"/>
      <c r="H214" s="425">
        <f>'TT entry &amp; transportation'!L197</f>
        <v>0</v>
      </c>
    </row>
    <row r="215" spans="1:8" s="487" customFormat="1" x14ac:dyDescent="0.25">
      <c r="A215" s="409" t="s">
        <v>596</v>
      </c>
      <c r="B215" s="448">
        <f>'TT entry &amp; transportation'!$B$266</f>
        <v>3726.3709260000001</v>
      </c>
      <c r="C215" s="385" t="s">
        <v>1</v>
      </c>
      <c r="D215" s="175"/>
      <c r="E215" s="597" t="s">
        <v>1</v>
      </c>
      <c r="F215" s="427" t="s">
        <v>533</v>
      </c>
      <c r="G215" s="175"/>
      <c r="H215" s="428">
        <f>'Payment T&amp;T LAWSON'!I31</f>
        <v>0</v>
      </c>
    </row>
    <row r="216" spans="1:8" s="487" customFormat="1" ht="14.4" x14ac:dyDescent="0.3">
      <c r="A216" s="410"/>
      <c r="B216" s="411"/>
      <c r="C216" s="175"/>
      <c r="D216" s="175"/>
      <c r="E216" s="176"/>
      <c r="F216" s="175"/>
      <c r="G216" s="175"/>
      <c r="H216" s="363"/>
    </row>
    <row r="217" spans="1:8" s="487" customFormat="1" ht="14.4" x14ac:dyDescent="0.3">
      <c r="A217" s="1049" t="s">
        <v>523</v>
      </c>
      <c r="B217" s="1050"/>
      <c r="C217" s="412">
        <f>'CTE TRANS'!AL32</f>
        <v>18873.2</v>
      </c>
      <c r="D217" s="150"/>
      <c r="E217" s="597" t="s">
        <v>1</v>
      </c>
      <c r="F217" s="427" t="s">
        <v>533</v>
      </c>
      <c r="G217" s="150"/>
      <c r="H217" s="429">
        <f>'Payment T&amp;T LAWSON'!K31</f>
        <v>18873.2</v>
      </c>
    </row>
    <row r="218" spans="1:8" s="487" customFormat="1" x14ac:dyDescent="0.25">
      <c r="A218" s="413"/>
      <c r="B218" s="150"/>
      <c r="C218" s="150"/>
      <c r="D218" s="150"/>
      <c r="E218" s="406"/>
      <c r="F218" s="150"/>
      <c r="G218" s="150"/>
      <c r="H218" s="150"/>
    </row>
    <row r="219" spans="1:8" s="487" customFormat="1" ht="14.4" x14ac:dyDescent="0.3">
      <c r="A219" s="1049" t="s">
        <v>524</v>
      </c>
      <c r="B219" s="1050"/>
      <c r="C219" s="371" t="s">
        <v>1</v>
      </c>
      <c r="D219" s="372" t="s">
        <v>1</v>
      </c>
      <c r="E219" s="406"/>
      <c r="F219" s="150"/>
      <c r="G219" s="150"/>
      <c r="H219" s="150"/>
    </row>
    <row r="220" spans="1:8" s="487" customFormat="1" x14ac:dyDescent="0.25">
      <c r="A220" s="413"/>
      <c r="B220" s="150"/>
      <c r="C220" s="373">
        <f>D214</f>
        <v>0</v>
      </c>
      <c r="D220" s="374" t="s">
        <v>167</v>
      </c>
      <c r="E220" s="406"/>
      <c r="F220" s="150"/>
      <c r="G220" s="150"/>
      <c r="H220" s="150"/>
    </row>
    <row r="221" spans="1:8" s="487" customFormat="1" ht="14.4" x14ac:dyDescent="0.3">
      <c r="A221" s="414" t="s">
        <v>1</v>
      </c>
      <c r="B221" s="375"/>
      <c r="C221" s="386">
        <f>C217</f>
        <v>18873.2</v>
      </c>
      <c r="D221" s="377" t="s">
        <v>526</v>
      </c>
      <c r="E221" s="406"/>
      <c r="F221" s="150"/>
      <c r="G221" s="150"/>
      <c r="H221" s="150"/>
    </row>
    <row r="222" spans="1:8" s="487" customFormat="1" ht="14.4" x14ac:dyDescent="0.3">
      <c r="A222" s="1045" t="s">
        <v>527</v>
      </c>
      <c r="B222" s="1046"/>
      <c r="C222" s="1047">
        <f>SUM(C220:C221)</f>
        <v>18873.2</v>
      </c>
      <c r="D222" s="1048"/>
      <c r="E222" s="597" t="s">
        <v>1</v>
      </c>
      <c r="F222" s="427" t="s">
        <v>533</v>
      </c>
      <c r="G222" s="150"/>
      <c r="H222" s="425">
        <f>'Payment T&amp;T LAWSON'!N31</f>
        <v>18873.2</v>
      </c>
    </row>
    <row r="223" spans="1:8" s="487" customFormat="1" x14ac:dyDescent="0.25">
      <c r="A223" s="415"/>
      <c r="B223" s="372"/>
      <c r="C223" s="372"/>
      <c r="D223" s="372"/>
      <c r="E223" s="416"/>
      <c r="F223" s="150"/>
      <c r="G223" s="150"/>
      <c r="H223" s="150"/>
    </row>
    <row r="225" spans="1:8" s="487" customFormat="1" ht="15.6" x14ac:dyDescent="0.3">
      <c r="A225" s="1051" t="s">
        <v>767</v>
      </c>
      <c r="B225" s="1052"/>
      <c r="C225" s="1052"/>
      <c r="D225" s="1052"/>
      <c r="E225" s="1053"/>
      <c r="F225" s="586"/>
      <c r="G225" s="586"/>
      <c r="H225" s="586"/>
    </row>
    <row r="226" spans="1:8" s="487" customFormat="1" ht="15.6" x14ac:dyDescent="0.3">
      <c r="A226" s="1054" t="str">
        <f>'Payment Breakdowns'!$A$2:$F$2</f>
        <v xml:space="preserve">School Year 2020-2021 </v>
      </c>
      <c r="B226" s="1055"/>
      <c r="C226" s="1055"/>
      <c r="D226" s="1055"/>
      <c r="E226" s="1056"/>
      <c r="F226" s="586"/>
      <c r="G226" s="586"/>
      <c r="H226" s="586"/>
    </row>
    <row r="227" spans="1:8" s="487" customFormat="1" x14ac:dyDescent="0.25">
      <c r="A227" s="1037" t="s">
        <v>513</v>
      </c>
      <c r="B227" s="1038"/>
      <c r="C227" s="150"/>
      <c r="D227" s="150"/>
      <c r="E227" s="406"/>
      <c r="F227" s="150"/>
      <c r="G227" s="150"/>
      <c r="H227" s="150"/>
    </row>
    <row r="228" spans="1:8" s="487" customFormat="1" ht="14.4" x14ac:dyDescent="0.3">
      <c r="A228" s="407"/>
      <c r="B228" s="353"/>
      <c r="C228" s="354" t="s">
        <v>514</v>
      </c>
      <c r="D228" s="355" t="s">
        <v>515</v>
      </c>
      <c r="E228" s="625"/>
      <c r="F228" s="396"/>
      <c r="G228" s="388"/>
      <c r="H228" s="388"/>
    </row>
    <row r="229" spans="1:8" s="487" customFormat="1" ht="14.4" x14ac:dyDescent="0.3">
      <c r="A229" s="407"/>
      <c r="B229" s="353"/>
      <c r="C229" s="356" t="s">
        <v>516</v>
      </c>
      <c r="D229" s="357" t="s">
        <v>517</v>
      </c>
      <c r="E229" s="626"/>
      <c r="F229" s="389"/>
      <c r="G229" s="390"/>
      <c r="H229" s="390"/>
    </row>
    <row r="230" spans="1:8" s="487" customFormat="1" ht="14.4" x14ac:dyDescent="0.3">
      <c r="A230" s="134" t="s">
        <v>768</v>
      </c>
      <c r="B230" s="475"/>
      <c r="C230" s="384">
        <f>'TT entry &amp; transportation'!K187</f>
        <v>3</v>
      </c>
      <c r="D230" s="358">
        <f>'TT entry &amp; transportation'!L187</f>
        <v>11179.11</v>
      </c>
      <c r="E230" s="627"/>
      <c r="F230" s="175"/>
      <c r="G230" s="391"/>
      <c r="H230" s="593"/>
    </row>
    <row r="231" spans="1:8" s="487" customFormat="1" ht="14.4" x14ac:dyDescent="0.3">
      <c r="A231" s="1045" t="s">
        <v>518</v>
      </c>
      <c r="B231" s="1046"/>
      <c r="C231" s="360">
        <f>SUM(C230:C230)</f>
        <v>3</v>
      </c>
      <c r="D231" s="361">
        <f>SUM(D230:D230)</f>
        <v>11179.11</v>
      </c>
      <c r="E231" s="598" t="s">
        <v>1</v>
      </c>
      <c r="F231" s="424" t="s">
        <v>532</v>
      </c>
      <c r="G231" s="425"/>
      <c r="H231" s="425">
        <f>'TT entry &amp; transportation'!L187</f>
        <v>11179.11</v>
      </c>
    </row>
    <row r="232" spans="1:8" s="487" customFormat="1" x14ac:dyDescent="0.25">
      <c r="A232" s="409" t="s">
        <v>596</v>
      </c>
      <c r="B232" s="448">
        <f>'TT entry &amp; transportation'!$B$266</f>
        <v>3726.3709260000001</v>
      </c>
      <c r="C232" s="385" t="s">
        <v>1</v>
      </c>
      <c r="D232" s="175"/>
      <c r="E232" s="597" t="s">
        <v>1</v>
      </c>
      <c r="F232" s="427" t="s">
        <v>533</v>
      </c>
      <c r="G232" s="175"/>
      <c r="H232" s="428">
        <f>'Payment T&amp;T LAWSON'!I24</f>
        <v>11179.11</v>
      </c>
    </row>
    <row r="233" spans="1:8" s="487" customFormat="1" ht="14.4" x14ac:dyDescent="0.3">
      <c r="A233" s="410"/>
      <c r="B233" s="411"/>
      <c r="C233" s="175"/>
      <c r="D233" s="175"/>
      <c r="E233" s="176"/>
      <c r="F233" s="175"/>
      <c r="G233" s="175"/>
      <c r="H233" s="363"/>
    </row>
    <row r="234" spans="1:8" s="487" customFormat="1" ht="14.4" x14ac:dyDescent="0.3">
      <c r="A234" s="1049" t="s">
        <v>523</v>
      </c>
      <c r="B234" s="1050"/>
      <c r="C234" s="412">
        <f>'TT entry &amp; transportation'!P187</f>
        <v>0</v>
      </c>
      <c r="D234" s="150"/>
      <c r="E234" s="597" t="s">
        <v>1</v>
      </c>
      <c r="F234" s="427" t="s">
        <v>533</v>
      </c>
      <c r="G234" s="150"/>
      <c r="H234" s="429">
        <f>'Payment T&amp;T LAWSON'!K24</f>
        <v>0</v>
      </c>
    </row>
    <row r="235" spans="1:8" s="487" customFormat="1" x14ac:dyDescent="0.25">
      <c r="A235" s="413"/>
      <c r="B235" s="150"/>
      <c r="C235" s="150"/>
      <c r="D235" s="150"/>
      <c r="E235" s="406"/>
      <c r="F235" s="150"/>
      <c r="G235" s="150"/>
      <c r="H235" s="150"/>
    </row>
    <row r="236" spans="1:8" s="487" customFormat="1" ht="14.4" x14ac:dyDescent="0.3">
      <c r="A236" s="1049" t="s">
        <v>524</v>
      </c>
      <c r="B236" s="1050"/>
      <c r="C236" s="371" t="s">
        <v>1</v>
      </c>
      <c r="D236" s="372" t="s">
        <v>1</v>
      </c>
      <c r="E236" s="406"/>
      <c r="F236" s="150"/>
      <c r="G236" s="150"/>
      <c r="H236" s="150"/>
    </row>
    <row r="237" spans="1:8" s="487" customFormat="1" x14ac:dyDescent="0.25">
      <c r="A237" s="413"/>
      <c r="B237" s="150"/>
      <c r="C237" s="373">
        <f>D231</f>
        <v>11179.11</v>
      </c>
      <c r="D237" s="374" t="s">
        <v>167</v>
      </c>
      <c r="E237" s="406"/>
      <c r="F237" s="150"/>
      <c r="G237" s="150"/>
      <c r="H237" s="150"/>
    </row>
    <row r="238" spans="1:8" s="487" customFormat="1" ht="14.4" x14ac:dyDescent="0.3">
      <c r="A238" s="414" t="s">
        <v>1</v>
      </c>
      <c r="B238" s="375"/>
      <c r="C238" s="386">
        <f>C234</f>
        <v>0</v>
      </c>
      <c r="D238" s="377" t="s">
        <v>526</v>
      </c>
      <c r="E238" s="406"/>
      <c r="F238" s="150"/>
      <c r="G238" s="150"/>
      <c r="H238" s="150"/>
    </row>
    <row r="239" spans="1:8" s="487" customFormat="1" ht="14.4" x14ac:dyDescent="0.3">
      <c r="A239" s="1045" t="s">
        <v>527</v>
      </c>
      <c r="B239" s="1046"/>
      <c r="C239" s="1047">
        <f>SUM(C237:C238)</f>
        <v>11179.11</v>
      </c>
      <c r="D239" s="1048"/>
      <c r="E239" s="597" t="s">
        <v>1</v>
      </c>
      <c r="F239" s="427" t="s">
        <v>533</v>
      </c>
      <c r="G239" s="150"/>
      <c r="H239" s="425">
        <f>'Payment T&amp;T LAWSON'!N24</f>
        <v>11179.11</v>
      </c>
    </row>
    <row r="240" spans="1:8" s="487" customFormat="1" x14ac:dyDescent="0.25">
      <c r="A240" s="415"/>
      <c r="B240" s="372"/>
      <c r="C240" s="372"/>
      <c r="D240" s="372"/>
      <c r="E240" s="416"/>
      <c r="F240" s="150"/>
      <c r="G240" s="150"/>
      <c r="H240" s="150"/>
    </row>
  </sheetData>
  <mergeCells count="103">
    <mergeCell ref="C239:D239"/>
    <mergeCell ref="A227:B227"/>
    <mergeCell ref="A231:B231"/>
    <mergeCell ref="A234:B234"/>
    <mergeCell ref="A236:B236"/>
    <mergeCell ref="A239:B239"/>
    <mergeCell ref="A219:B219"/>
    <mergeCell ref="A222:B222"/>
    <mergeCell ref="C222:D222"/>
    <mergeCell ref="A225:E225"/>
    <mergeCell ref="A226:E226"/>
    <mergeCell ref="A208:E208"/>
    <mergeCell ref="A209:E209"/>
    <mergeCell ref="A210:B210"/>
    <mergeCell ref="A214:B214"/>
    <mergeCell ref="A217:B217"/>
    <mergeCell ref="C15:D15"/>
    <mergeCell ref="A1:E1"/>
    <mergeCell ref="A2:E2"/>
    <mergeCell ref="A19:E19"/>
    <mergeCell ref="A20:E20"/>
    <mergeCell ref="A3:B3"/>
    <mergeCell ref="A7:B7"/>
    <mergeCell ref="A25:B25"/>
    <mergeCell ref="A21:B21"/>
    <mergeCell ref="A10:B10"/>
    <mergeCell ref="A12:B12"/>
    <mergeCell ref="A15:B15"/>
    <mergeCell ref="A48:B48"/>
    <mergeCell ref="A33:B33"/>
    <mergeCell ref="C33:D33"/>
    <mergeCell ref="A30:B30"/>
    <mergeCell ref="A28:B28"/>
    <mergeCell ref="A39:B39"/>
    <mergeCell ref="A43:B43"/>
    <mergeCell ref="A46:B46"/>
    <mergeCell ref="A37:E37"/>
    <mergeCell ref="A38:E38"/>
    <mergeCell ref="A51:B51"/>
    <mergeCell ref="C51:D51"/>
    <mergeCell ref="A75:B75"/>
    <mergeCell ref="A79:B79"/>
    <mergeCell ref="A66:B66"/>
    <mergeCell ref="A69:B69"/>
    <mergeCell ref="C69:D69"/>
    <mergeCell ref="A57:B57"/>
    <mergeCell ref="A55:E55"/>
    <mergeCell ref="A56:E56"/>
    <mergeCell ref="A73:E73"/>
    <mergeCell ref="A74:E74"/>
    <mergeCell ref="C151:D151"/>
    <mergeCell ref="A157:B157"/>
    <mergeCell ref="A155:E155"/>
    <mergeCell ref="A156:E156"/>
    <mergeCell ref="A61:B61"/>
    <mergeCell ref="A64:B64"/>
    <mergeCell ref="A117:B117"/>
    <mergeCell ref="A120:B120"/>
    <mergeCell ref="A122:B122"/>
    <mergeCell ref="A112:B112"/>
    <mergeCell ref="A106:B106"/>
    <mergeCell ref="C106:D106"/>
    <mergeCell ref="A103:B103"/>
    <mergeCell ref="A101:B101"/>
    <mergeCell ref="A98:B98"/>
    <mergeCell ref="A93:B93"/>
    <mergeCell ref="A192:E192"/>
    <mergeCell ref="C187:D187"/>
    <mergeCell ref="A164:B164"/>
    <mergeCell ref="A166:B166"/>
    <mergeCell ref="A169:B169"/>
    <mergeCell ref="C169:D169"/>
    <mergeCell ref="A175:B175"/>
    <mergeCell ref="A179:B179"/>
    <mergeCell ref="A182:B182"/>
    <mergeCell ref="A184:B184"/>
    <mergeCell ref="A187:B187"/>
    <mergeCell ref="A173:E173"/>
    <mergeCell ref="A174:E174"/>
    <mergeCell ref="A205:B205"/>
    <mergeCell ref="C205:D205"/>
    <mergeCell ref="A193:B193"/>
    <mergeCell ref="A197:B197"/>
    <mergeCell ref="A200:B200"/>
    <mergeCell ref="A202:B202"/>
    <mergeCell ref="A91:E91"/>
    <mergeCell ref="A82:B82"/>
    <mergeCell ref="A84:B84"/>
    <mergeCell ref="A87:B87"/>
    <mergeCell ref="C87:D87"/>
    <mergeCell ref="A92:E92"/>
    <mergeCell ref="A110:E110"/>
    <mergeCell ref="A111:E111"/>
    <mergeCell ref="A129:E129"/>
    <mergeCell ref="A130:E130"/>
    <mergeCell ref="A125:B125"/>
    <mergeCell ref="C125:D125"/>
    <mergeCell ref="A161:B161"/>
    <mergeCell ref="A131:B131"/>
    <mergeCell ref="A141:B141"/>
    <mergeCell ref="A148:B148"/>
    <mergeCell ref="A151:B151"/>
    <mergeCell ref="A191:E191"/>
  </mergeCells>
  <hyperlinks>
    <hyperlink ref="I3" r:id="rId1" xr:uid="{00000000-0004-0000-2800-000000000000}"/>
  </hyperlinks>
  <pageMargins left="0.7" right="0.7" top="0.75" bottom="0.75" header="0.3" footer="0.3"/>
  <pageSetup scale="95" orientation="portrait" r:id="rId2"/>
  <rowBreaks count="10" manualBreakCount="10">
    <brk id="17" max="4" man="1"/>
    <brk id="35" max="4" man="1"/>
    <brk id="53" max="4" man="1"/>
    <brk id="71" max="4" man="1"/>
    <brk id="89" max="4" man="1"/>
    <brk id="108" max="4" man="1"/>
    <brk id="127" max="4" man="1"/>
    <brk id="153" max="4" man="1"/>
    <brk id="171" max="4" man="1"/>
    <brk id="189" max="4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298"/>
  <sheetViews>
    <sheetView zoomScaleNormal="100" workbookViewId="0">
      <selection activeCell="G91" sqref="G91"/>
    </sheetView>
  </sheetViews>
  <sheetFormatPr defaultRowHeight="13.2" x14ac:dyDescent="0.25"/>
  <cols>
    <col min="1" max="1" width="24.5546875" customWidth="1"/>
    <col min="2" max="2" width="13.109375" customWidth="1"/>
    <col min="3" max="3" width="14" bestFit="1" customWidth="1"/>
    <col min="4" max="4" width="16" bestFit="1" customWidth="1"/>
    <col min="5" max="5" width="15.88671875" customWidth="1"/>
    <col min="6" max="6" width="15" bestFit="1" customWidth="1"/>
    <col min="7" max="7" width="14" bestFit="1" customWidth="1"/>
    <col min="8" max="8" width="15.44140625" customWidth="1"/>
    <col min="9" max="9" width="10.33203125" customWidth="1"/>
    <col min="10" max="10" width="15" bestFit="1" customWidth="1"/>
    <col min="13" max="15" width="10.33203125" bestFit="1" customWidth="1"/>
  </cols>
  <sheetData>
    <row r="1" spans="1:16" ht="15.6" x14ac:dyDescent="0.3">
      <c r="A1" s="802"/>
      <c r="B1" s="1090" t="s">
        <v>857</v>
      </c>
      <c r="C1" s="1090"/>
      <c r="D1" s="1090"/>
      <c r="E1" s="1090"/>
      <c r="F1" s="1090"/>
      <c r="G1" s="803"/>
      <c r="H1" s="802"/>
    </row>
    <row r="2" spans="1:16" ht="13.8" thickBot="1" x14ac:dyDescent="0.3">
      <c r="A2" s="781"/>
      <c r="B2" s="789"/>
      <c r="C2" s="789"/>
      <c r="D2" s="789"/>
      <c r="E2" s="789"/>
      <c r="F2" s="789"/>
      <c r="G2" s="789"/>
      <c r="H2" s="781"/>
    </row>
    <row r="3" spans="1:16" ht="13.8" thickBot="1" x14ac:dyDescent="0.3">
      <c r="A3" s="1091" t="s">
        <v>548</v>
      </c>
      <c r="B3" s="1092"/>
      <c r="C3" s="1092"/>
      <c r="D3" s="1092"/>
      <c r="E3" s="1092"/>
      <c r="F3" s="1092"/>
      <c r="G3" s="1092"/>
      <c r="H3" s="1093"/>
    </row>
    <row r="4" spans="1:16" ht="53.4" thickBot="1" x14ac:dyDescent="0.3">
      <c r="A4" s="809" t="s">
        <v>777</v>
      </c>
      <c r="B4" s="810" t="s">
        <v>790</v>
      </c>
      <c r="C4" s="810" t="s">
        <v>608</v>
      </c>
      <c r="D4" s="810" t="s">
        <v>791</v>
      </c>
      <c r="E4" s="811" t="s">
        <v>792</v>
      </c>
      <c r="F4" s="811" t="s">
        <v>858</v>
      </c>
      <c r="G4" s="811" t="s">
        <v>859</v>
      </c>
      <c r="H4" s="810" t="s">
        <v>860</v>
      </c>
    </row>
    <row r="5" spans="1:16" x14ac:dyDescent="0.25">
      <c r="A5" s="806" t="s">
        <v>2</v>
      </c>
      <c r="B5" s="796">
        <f>'TT entry &amp; transportation'!U4</f>
        <v>3531.6</v>
      </c>
      <c r="C5" s="797">
        <f>B5*2</f>
        <v>7063.2</v>
      </c>
      <c r="D5" s="797">
        <f>C5*0.75</f>
        <v>5297.4</v>
      </c>
      <c r="E5" s="798">
        <f>'TT entry &amp; transportation'!K4</f>
        <v>23.166650000000001</v>
      </c>
      <c r="F5" s="797">
        <f>D5*E5</f>
        <v>122723.01</v>
      </c>
      <c r="G5" s="797">
        <f>'Payment T&amp;T LAWSON'!I5</f>
        <v>86327.53</v>
      </c>
      <c r="H5" s="800">
        <f>G5-F5</f>
        <v>-36395.480000000003</v>
      </c>
      <c r="J5" s="257" t="s">
        <v>1</v>
      </c>
    </row>
    <row r="6" spans="1:16" x14ac:dyDescent="0.25">
      <c r="A6" s="807" t="s">
        <v>6</v>
      </c>
      <c r="B6" s="790">
        <f>'TT entry &amp; transportation'!U11</f>
        <v>2792.96</v>
      </c>
      <c r="C6" s="791">
        <f>B6*2</f>
        <v>5585.92</v>
      </c>
      <c r="D6" s="791">
        <f>C6*0.75</f>
        <v>4189.4399999999996</v>
      </c>
      <c r="E6" s="792">
        <f>'TT entry &amp; transportation'!K11</f>
        <v>3</v>
      </c>
      <c r="F6" s="791">
        <f>D6*E6</f>
        <v>12568.32</v>
      </c>
      <c r="G6" s="791">
        <f>'Payment T&amp;T LAWSON'!I7</f>
        <v>11179.11</v>
      </c>
      <c r="H6" s="801">
        <f>G6-F6</f>
        <v>-1389.21</v>
      </c>
      <c r="J6" s="257" t="s">
        <v>1</v>
      </c>
    </row>
    <row r="7" spans="1:16" x14ac:dyDescent="0.25">
      <c r="A7" s="807" t="s">
        <v>10</v>
      </c>
      <c r="B7" s="790">
        <f>'TT entry &amp; transportation'!U21</f>
        <v>3065.84</v>
      </c>
      <c r="C7" s="791">
        <f t="shared" ref="C7:C27" si="0">B7*2</f>
        <v>6131.68</v>
      </c>
      <c r="D7" s="791">
        <f t="shared" ref="D7:D28" si="1">C7*0.75</f>
        <v>4598.76</v>
      </c>
      <c r="E7" s="792">
        <f>'TT entry &amp; transportation'!K21</f>
        <v>374.00009999999997</v>
      </c>
      <c r="F7" s="791">
        <f t="shared" ref="F7:F28" si="2">D7*E7</f>
        <v>1719936.7</v>
      </c>
      <c r="G7" s="791">
        <f>'Payment T&amp;T LAWSON'!I11</f>
        <v>1393663.1</v>
      </c>
      <c r="H7" s="801">
        <f t="shared" ref="H7:H28" si="3">G7-F7</f>
        <v>-326273.59999999998</v>
      </c>
      <c r="J7" s="257" t="s">
        <v>1</v>
      </c>
    </row>
    <row r="8" spans="1:16" x14ac:dyDescent="0.25">
      <c r="A8" s="807" t="s">
        <v>511</v>
      </c>
      <c r="B8" s="790">
        <f>'TT entry &amp; transportation'!U27</f>
        <v>1903.75</v>
      </c>
      <c r="C8" s="791">
        <f t="shared" si="0"/>
        <v>3807.5</v>
      </c>
      <c r="D8" s="791">
        <f t="shared" si="1"/>
        <v>2855.63</v>
      </c>
      <c r="E8" s="792">
        <f>'TT entry &amp; transportation'!K27</f>
        <v>15.833349999999999</v>
      </c>
      <c r="F8" s="791">
        <f t="shared" si="2"/>
        <v>45214.19</v>
      </c>
      <c r="G8" s="791">
        <f>'Payment T&amp;T LAWSON'!I10</f>
        <v>59000.94</v>
      </c>
      <c r="H8" s="801">
        <f t="shared" si="3"/>
        <v>13786.75</v>
      </c>
      <c r="I8" s="488" t="s">
        <v>1</v>
      </c>
      <c r="J8" s="257" t="s">
        <v>1</v>
      </c>
      <c r="L8" s="1066" t="s">
        <v>907</v>
      </c>
      <c r="M8" s="1067"/>
      <c r="N8" s="1067"/>
      <c r="O8" s="1067"/>
      <c r="P8" s="1067"/>
    </row>
    <row r="9" spans="1:16" s="864" customFormat="1" x14ac:dyDescent="0.25">
      <c r="A9" s="1097" t="s">
        <v>837</v>
      </c>
      <c r="B9" s="981">
        <v>1516.09</v>
      </c>
      <c r="C9" s="982">
        <f t="shared" si="0"/>
        <v>3032.18</v>
      </c>
      <c r="D9" s="982">
        <f t="shared" si="1"/>
        <v>2274.14</v>
      </c>
      <c r="E9" s="398">
        <v>6.1666999999999996</v>
      </c>
      <c r="F9" s="982">
        <f>E9*D9</f>
        <v>14023.94</v>
      </c>
      <c r="G9" s="983" t="s">
        <v>1</v>
      </c>
      <c r="H9" s="984" t="s">
        <v>1</v>
      </c>
      <c r="I9" s="257" t="s">
        <v>1</v>
      </c>
      <c r="J9" s="488" t="s">
        <v>1</v>
      </c>
      <c r="M9" s="1000">
        <v>1516.09</v>
      </c>
      <c r="N9" s="1000">
        <v>2001.23</v>
      </c>
      <c r="O9" s="1000">
        <v>2425.7399999999998</v>
      </c>
    </row>
    <row r="10" spans="1:16" s="864" customFormat="1" x14ac:dyDescent="0.25">
      <c r="A10" s="1098"/>
      <c r="B10" s="985">
        <v>2001.23</v>
      </c>
      <c r="C10" s="986">
        <f t="shared" si="0"/>
        <v>4002.46</v>
      </c>
      <c r="D10" s="986">
        <f t="shared" si="1"/>
        <v>3001.85</v>
      </c>
      <c r="E10" s="399">
        <v>108.33329999999999</v>
      </c>
      <c r="F10" s="986">
        <f>D10*E10</f>
        <v>325200.32</v>
      </c>
      <c r="G10" s="987"/>
      <c r="H10" s="988"/>
      <c r="I10" s="257" t="s">
        <v>1</v>
      </c>
      <c r="J10" s="488"/>
      <c r="L10" s="866" t="s">
        <v>602</v>
      </c>
      <c r="N10" s="864">
        <f>1+1</f>
        <v>2</v>
      </c>
      <c r="P10" s="864">
        <f>SUM(M10:O10)</f>
        <v>2</v>
      </c>
    </row>
    <row r="11" spans="1:16" s="864" customFormat="1" x14ac:dyDescent="0.25">
      <c r="A11" s="1098"/>
      <c r="B11" s="989">
        <v>2425.7399999999998</v>
      </c>
      <c r="C11" s="990">
        <f t="shared" si="0"/>
        <v>4851.4799999999996</v>
      </c>
      <c r="D11" s="990">
        <f t="shared" si="1"/>
        <v>3638.61</v>
      </c>
      <c r="E11" s="991">
        <v>14</v>
      </c>
      <c r="F11" s="990">
        <f>E11*D11</f>
        <v>50940.54</v>
      </c>
      <c r="G11" s="987"/>
      <c r="H11" s="988"/>
      <c r="I11" s="257" t="s">
        <v>1</v>
      </c>
      <c r="J11" s="488"/>
      <c r="L11" s="866" t="s">
        <v>17</v>
      </c>
      <c r="O11" s="864">
        <f>1+1</f>
        <v>2</v>
      </c>
      <c r="P11" s="864">
        <f t="shared" ref="P11:P19" si="4">SUM(M11:O11)</f>
        <v>2</v>
      </c>
    </row>
    <row r="12" spans="1:16" s="864" customFormat="1" x14ac:dyDescent="0.25">
      <c r="A12" s="1099"/>
      <c r="B12" s="1100" t="s">
        <v>838</v>
      </c>
      <c r="C12" s="1101"/>
      <c r="D12" s="1102"/>
      <c r="E12" s="992">
        <f>SUM(E9:E11)</f>
        <v>128.5</v>
      </c>
      <c r="F12" s="993">
        <f>SUM(F9:F11)</f>
        <v>390164.8</v>
      </c>
      <c r="G12" s="987">
        <f>'Payment T&amp;T LAWSON'!I12</f>
        <v>478838.66</v>
      </c>
      <c r="H12" s="988">
        <f>G12-F12</f>
        <v>88673.86</v>
      </c>
      <c r="I12" s="899" t="s">
        <v>1</v>
      </c>
      <c r="J12" s="257" t="s">
        <v>1</v>
      </c>
      <c r="L12" s="866" t="s">
        <v>347</v>
      </c>
      <c r="M12" s="864">
        <f>2+1</f>
        <v>3</v>
      </c>
      <c r="N12" s="864">
        <f>12+12</f>
        <v>24</v>
      </c>
      <c r="O12" s="864">
        <f>2+3</f>
        <v>5</v>
      </c>
      <c r="P12" s="864">
        <f>SUM(M12:O12)</f>
        <v>32</v>
      </c>
    </row>
    <row r="13" spans="1:16" x14ac:dyDescent="0.25">
      <c r="A13" s="807" t="s">
        <v>602</v>
      </c>
      <c r="B13" s="790">
        <f>'TT entry &amp; transportation'!U59</f>
        <v>3319.74</v>
      </c>
      <c r="C13" s="791">
        <f t="shared" si="0"/>
        <v>6639.48</v>
      </c>
      <c r="D13" s="791">
        <f t="shared" si="1"/>
        <v>4979.6099999999997</v>
      </c>
      <c r="E13" s="792">
        <f>'TT entry &amp; transportation'!K59</f>
        <v>297.00004999999999</v>
      </c>
      <c r="F13" s="791">
        <f t="shared" si="2"/>
        <v>1478944.42</v>
      </c>
      <c r="G13" s="791">
        <f>'Payment T&amp;T LAWSON'!I15</f>
        <v>1106732.3500000001</v>
      </c>
      <c r="H13" s="801">
        <f t="shared" si="3"/>
        <v>-372212.07</v>
      </c>
      <c r="J13" s="257" t="s">
        <v>1</v>
      </c>
      <c r="L13" s="457" t="s">
        <v>360</v>
      </c>
      <c r="M13" s="864"/>
      <c r="N13" s="864"/>
      <c r="O13" s="864"/>
      <c r="P13" s="864">
        <f t="shared" si="4"/>
        <v>0</v>
      </c>
    </row>
    <row r="14" spans="1:16" x14ac:dyDescent="0.25">
      <c r="A14" s="807" t="s">
        <v>28</v>
      </c>
      <c r="B14" s="790">
        <f>'TT entry &amp; transportation'!U71</f>
        <v>3197.57</v>
      </c>
      <c r="C14" s="791">
        <f t="shared" si="0"/>
        <v>6395.14</v>
      </c>
      <c r="D14" s="791">
        <f t="shared" si="1"/>
        <v>4796.3599999999997</v>
      </c>
      <c r="E14" s="792">
        <f>'TT entry &amp; transportation'!K71</f>
        <v>89.833349999999996</v>
      </c>
      <c r="F14" s="791">
        <f t="shared" si="2"/>
        <v>430873.09</v>
      </c>
      <c r="G14" s="791">
        <f>'Payment T&amp;T LAWSON'!I28</f>
        <v>334752.38</v>
      </c>
      <c r="H14" s="801">
        <f t="shared" si="3"/>
        <v>-96120.71</v>
      </c>
      <c r="J14" s="257" t="s">
        <v>1</v>
      </c>
      <c r="L14" s="866" t="s">
        <v>348</v>
      </c>
      <c r="M14" s="864">
        <f>3+5</f>
        <v>8</v>
      </c>
      <c r="N14" s="864">
        <f>41.3333+46.6667</f>
        <v>88</v>
      </c>
      <c r="O14" s="864">
        <f>1+1</f>
        <v>2</v>
      </c>
      <c r="P14" s="864">
        <f t="shared" si="4"/>
        <v>98</v>
      </c>
    </row>
    <row r="15" spans="1:16" x14ac:dyDescent="0.25">
      <c r="A15" s="807" t="s">
        <v>598</v>
      </c>
      <c r="B15" s="790">
        <f>'TT entry &amp; transportation'!U74</f>
        <v>0</v>
      </c>
      <c r="C15" s="791">
        <f t="shared" si="0"/>
        <v>0</v>
      </c>
      <c r="D15" s="791">
        <f t="shared" si="1"/>
        <v>0</v>
      </c>
      <c r="E15" s="792">
        <f>'TT entry &amp; transportation'!K74</f>
        <v>0</v>
      </c>
      <c r="F15" s="791">
        <f t="shared" si="2"/>
        <v>0</v>
      </c>
      <c r="G15" s="791">
        <f>'Payment T&amp;T LAWSON'!I30</f>
        <v>0</v>
      </c>
      <c r="H15" s="801">
        <f t="shared" si="3"/>
        <v>0</v>
      </c>
      <c r="I15" s="488" t="s">
        <v>1</v>
      </c>
      <c r="J15" s="257" t="s">
        <v>1</v>
      </c>
      <c r="L15" s="866" t="s">
        <v>357</v>
      </c>
      <c r="M15" s="864"/>
      <c r="N15" s="864">
        <f>1+1</f>
        <v>2</v>
      </c>
      <c r="O15" s="864"/>
      <c r="P15" s="864">
        <f t="shared" si="4"/>
        <v>2</v>
      </c>
    </row>
    <row r="16" spans="1:16" x14ac:dyDescent="0.25">
      <c r="A16" s="807" t="s">
        <v>138</v>
      </c>
      <c r="B16" s="790">
        <f>'TT entry &amp; transportation'!U79</f>
        <v>2552.64</v>
      </c>
      <c r="C16" s="791">
        <f t="shared" si="0"/>
        <v>5105.28</v>
      </c>
      <c r="D16" s="791">
        <f t="shared" si="1"/>
        <v>3828.96</v>
      </c>
      <c r="E16" s="792">
        <f>'TT entry &amp; transportation'!K79</f>
        <v>43.500050000000002</v>
      </c>
      <c r="F16" s="791">
        <f t="shared" si="2"/>
        <v>166559.95000000001</v>
      </c>
      <c r="G16" s="791">
        <f>'Payment T&amp;T LAWSON'!I32</f>
        <v>162097.32</v>
      </c>
      <c r="H16" s="801">
        <f t="shared" si="3"/>
        <v>-4462.63</v>
      </c>
      <c r="J16" s="257" t="s">
        <v>1</v>
      </c>
      <c r="L16" s="262" t="s">
        <v>350</v>
      </c>
      <c r="M16" s="864">
        <v>0</v>
      </c>
      <c r="N16" s="864">
        <f>27.3333+31+(3*0.6667)+(0.3333*4)</f>
        <v>61.666600000000003</v>
      </c>
      <c r="O16" s="864">
        <f>7+8</f>
        <v>15</v>
      </c>
      <c r="P16" s="864">
        <f t="shared" si="4"/>
        <v>76.666600000000003</v>
      </c>
    </row>
    <row r="17" spans="1:16" x14ac:dyDescent="0.25">
      <c r="A17" s="807" t="s">
        <v>282</v>
      </c>
      <c r="B17" s="790">
        <f>'TT entry &amp; transportation'!U83</f>
        <v>1930.6</v>
      </c>
      <c r="C17" s="791">
        <f t="shared" si="0"/>
        <v>3861.2</v>
      </c>
      <c r="D17" s="791">
        <f t="shared" si="1"/>
        <v>2895.9</v>
      </c>
      <c r="E17" s="792">
        <f>'TT entry &amp; transportation'!K83</f>
        <v>8.6666500000000006</v>
      </c>
      <c r="F17" s="791">
        <f t="shared" si="2"/>
        <v>25097.75</v>
      </c>
      <c r="G17" s="791">
        <f>'TT entry &amp; transportation'!M83</f>
        <v>32295.15</v>
      </c>
      <c r="H17" s="995">
        <f t="shared" si="3"/>
        <v>7197.4</v>
      </c>
      <c r="J17" s="257" t="s">
        <v>1</v>
      </c>
      <c r="L17" s="262" t="s">
        <v>487</v>
      </c>
      <c r="M17" s="864"/>
      <c r="N17" s="864">
        <v>0.5</v>
      </c>
      <c r="O17" s="864"/>
      <c r="P17" s="864">
        <f t="shared" si="4"/>
        <v>0.5</v>
      </c>
    </row>
    <row r="18" spans="1:16" x14ac:dyDescent="0.25">
      <c r="A18" s="807" t="s">
        <v>153</v>
      </c>
      <c r="B18" s="790">
        <f>'TT entry &amp; transportation'!U90</f>
        <v>3772.38</v>
      </c>
      <c r="C18" s="791">
        <f t="shared" si="0"/>
        <v>7544.76</v>
      </c>
      <c r="D18" s="791">
        <f t="shared" si="1"/>
        <v>5658.57</v>
      </c>
      <c r="E18" s="792">
        <f>'TT entry &amp; transportation'!K90</f>
        <v>239.5001</v>
      </c>
      <c r="F18" s="791">
        <f t="shared" si="2"/>
        <v>1355228.08</v>
      </c>
      <c r="G18" s="791">
        <f>'Payment T&amp;T LAWSON'!I33</f>
        <v>892466.21</v>
      </c>
      <c r="H18" s="801">
        <f t="shared" si="3"/>
        <v>-462761.87</v>
      </c>
      <c r="J18" s="257" t="s">
        <v>1</v>
      </c>
      <c r="L18" s="262" t="s">
        <v>351</v>
      </c>
      <c r="M18" s="864">
        <f>0.6667+0.6667</f>
        <v>1.3333999999999999</v>
      </c>
      <c r="N18" s="864">
        <f>19+17</f>
        <v>36</v>
      </c>
      <c r="O18" s="864">
        <f>2+2</f>
        <v>4</v>
      </c>
      <c r="P18" s="864">
        <f t="shared" si="4"/>
        <v>41.333399999999997</v>
      </c>
    </row>
    <row r="19" spans="1:16" x14ac:dyDescent="0.25">
      <c r="A19" s="807" t="s">
        <v>40</v>
      </c>
      <c r="B19" s="790">
        <f>'TT entry &amp; transportation'!U96</f>
        <v>2865.94</v>
      </c>
      <c r="C19" s="791">
        <f t="shared" si="0"/>
        <v>5731.88</v>
      </c>
      <c r="D19" s="791">
        <f t="shared" si="1"/>
        <v>4298.91</v>
      </c>
      <c r="E19" s="792">
        <f>'TT entry &amp; transportation'!K96</f>
        <v>76.333349999999996</v>
      </c>
      <c r="F19" s="791">
        <f t="shared" si="2"/>
        <v>328150.2</v>
      </c>
      <c r="G19" s="791">
        <f>'Payment T&amp;T LAWSON'!I38</f>
        <v>284446.38</v>
      </c>
      <c r="H19" s="801">
        <f t="shared" si="3"/>
        <v>-43703.82</v>
      </c>
      <c r="J19" s="257" t="s">
        <v>1</v>
      </c>
      <c r="L19" s="262" t="s">
        <v>906</v>
      </c>
      <c r="M19" s="864"/>
      <c r="N19" s="864">
        <f>1+1</f>
        <v>2</v>
      </c>
      <c r="O19" s="864"/>
      <c r="P19" s="864">
        <f t="shared" si="4"/>
        <v>2</v>
      </c>
    </row>
    <row r="20" spans="1:16" x14ac:dyDescent="0.25">
      <c r="A20" s="807" t="s">
        <v>45</v>
      </c>
      <c r="B20" s="790">
        <f>'TT entry &amp; transportation'!U109</f>
        <v>2557.36</v>
      </c>
      <c r="C20" s="791">
        <f t="shared" si="0"/>
        <v>5114.72</v>
      </c>
      <c r="D20" s="791">
        <f t="shared" si="1"/>
        <v>3836.04</v>
      </c>
      <c r="E20" s="792">
        <f>'TT entry &amp; transportation'!K109</f>
        <v>229.66614999999999</v>
      </c>
      <c r="F20" s="791">
        <f t="shared" si="2"/>
        <v>881008.54</v>
      </c>
      <c r="G20" s="791">
        <f>'Payment T&amp;T LAWSON'!I41</f>
        <v>855821.26</v>
      </c>
      <c r="H20" s="801">
        <f t="shared" si="3"/>
        <v>-25187.279999999999</v>
      </c>
      <c r="I20" s="781"/>
      <c r="J20" s="257" t="s">
        <v>1</v>
      </c>
      <c r="L20" s="866" t="s">
        <v>352</v>
      </c>
      <c r="M20" s="864"/>
      <c r="N20" s="864"/>
      <c r="O20" s="864"/>
      <c r="P20" s="864"/>
    </row>
    <row r="21" spans="1:16" x14ac:dyDescent="0.25">
      <c r="A21" s="807" t="s">
        <v>161</v>
      </c>
      <c r="B21" s="790">
        <f>'TT entry &amp; transportation'!U116</f>
        <v>0</v>
      </c>
      <c r="C21" s="791">
        <f t="shared" si="0"/>
        <v>0</v>
      </c>
      <c r="D21" s="791">
        <f t="shared" si="1"/>
        <v>0</v>
      </c>
      <c r="E21" s="792">
        <f>'TT entry &amp; transportation'!K116</f>
        <v>9.6667000000000005</v>
      </c>
      <c r="F21" s="791">
        <f t="shared" si="2"/>
        <v>0</v>
      </c>
      <c r="G21" s="791">
        <f>'Payment T&amp;T LAWSON'!I42</f>
        <v>36021.71</v>
      </c>
      <c r="H21" s="801">
        <f t="shared" si="3"/>
        <v>36021.71</v>
      </c>
      <c r="I21" s="781"/>
      <c r="J21" s="257" t="s">
        <v>1</v>
      </c>
      <c r="L21" s="864"/>
      <c r="M21" s="864">
        <f>SUM(M10:M19)</f>
        <v>12.333399999999999</v>
      </c>
      <c r="N21" s="864">
        <f>SUM(N10:N19)-N17</f>
        <v>215.66659999999999</v>
      </c>
      <c r="O21" s="864">
        <f>SUM(O10:O19)</f>
        <v>28</v>
      </c>
      <c r="P21" s="864">
        <f>SUM(P10:P19)</f>
        <v>256.5</v>
      </c>
    </row>
    <row r="22" spans="1:16" x14ac:dyDescent="0.25">
      <c r="A22" s="807" t="s">
        <v>31</v>
      </c>
      <c r="B22" s="790">
        <f>'TT entry &amp; transportation'!U132</f>
        <v>3303.91</v>
      </c>
      <c r="C22" s="791">
        <f t="shared" si="0"/>
        <v>6607.82</v>
      </c>
      <c r="D22" s="791">
        <f t="shared" si="1"/>
        <v>4955.87</v>
      </c>
      <c r="E22" s="792">
        <f>'TT entry &amp; transportation'!K132</f>
        <v>13.666650000000001</v>
      </c>
      <c r="F22" s="791">
        <f t="shared" si="2"/>
        <v>67730.14</v>
      </c>
      <c r="G22" s="791">
        <f>'Payment T&amp;T LAWSON'!I46</f>
        <v>50927.01</v>
      </c>
      <c r="H22" s="801">
        <f t="shared" si="3"/>
        <v>-16803.13</v>
      </c>
      <c r="I22" s="781"/>
      <c r="J22" s="257" t="s">
        <v>1</v>
      </c>
      <c r="L22" s="864"/>
      <c r="M22" s="864">
        <f>M21/2</f>
        <v>6.1666999999999996</v>
      </c>
      <c r="N22" s="864">
        <f>N21/2+0.5</f>
        <v>108.33329999999999</v>
      </c>
      <c r="O22" s="864">
        <f t="shared" ref="O22:P22" si="5">O21/2</f>
        <v>14</v>
      </c>
      <c r="P22" s="864">
        <f t="shared" si="5"/>
        <v>128.25</v>
      </c>
    </row>
    <row r="23" spans="1:16" x14ac:dyDescent="0.25">
      <c r="A23" s="807" t="s">
        <v>32</v>
      </c>
      <c r="B23" s="790">
        <f>'TT entry &amp; transportation'!U140</f>
        <v>2406.54</v>
      </c>
      <c r="C23" s="791">
        <f t="shared" si="0"/>
        <v>4813.08</v>
      </c>
      <c r="D23" s="791">
        <f t="shared" si="1"/>
        <v>3609.81</v>
      </c>
      <c r="E23" s="792">
        <f>'TT entry &amp; transportation'!K140</f>
        <v>50.999949999999998</v>
      </c>
      <c r="F23" s="791">
        <f t="shared" si="2"/>
        <v>184100.13</v>
      </c>
      <c r="G23" s="791">
        <f>'Payment T&amp;T LAWSON'!I50</f>
        <v>190044.73</v>
      </c>
      <c r="H23" s="801">
        <f t="shared" si="3"/>
        <v>5944.6</v>
      </c>
      <c r="I23" s="781"/>
      <c r="J23" s="257" t="s">
        <v>1</v>
      </c>
    </row>
    <row r="24" spans="1:16" x14ac:dyDescent="0.25">
      <c r="A24" s="807" t="s">
        <v>8</v>
      </c>
      <c r="B24" s="790">
        <f>'TT entry &amp; transportation'!U147</f>
        <v>2804.14</v>
      </c>
      <c r="C24" s="791">
        <f t="shared" si="0"/>
        <v>5608.28</v>
      </c>
      <c r="D24" s="791">
        <f t="shared" si="1"/>
        <v>4206.21</v>
      </c>
      <c r="E24" s="792">
        <f>'TT entry &amp; transportation'!K147</f>
        <v>18.5</v>
      </c>
      <c r="F24" s="791">
        <f t="shared" si="2"/>
        <v>77814.89</v>
      </c>
      <c r="G24" s="791">
        <f>'Payment T&amp;T LAWSON'!I53</f>
        <v>68937.86</v>
      </c>
      <c r="H24" s="801">
        <f t="shared" si="3"/>
        <v>-8877.0300000000007</v>
      </c>
      <c r="I24" s="781"/>
      <c r="J24" s="257" t="s">
        <v>1</v>
      </c>
    </row>
    <row r="25" spans="1:16" x14ac:dyDescent="0.25">
      <c r="A25" s="807" t="s">
        <v>269</v>
      </c>
      <c r="B25" s="790">
        <f>'TT entry &amp; transportation'!U158</f>
        <v>2649</v>
      </c>
      <c r="C25" s="791">
        <f t="shared" si="0"/>
        <v>5298</v>
      </c>
      <c r="D25" s="791">
        <f t="shared" si="1"/>
        <v>3973.5</v>
      </c>
      <c r="E25" s="792">
        <f>'TT entry &amp; transportation'!K158</f>
        <v>89.666700000000006</v>
      </c>
      <c r="F25" s="791">
        <f t="shared" si="2"/>
        <v>356290.63</v>
      </c>
      <c r="G25" s="791">
        <f>'Payment T&amp;T LAWSON'!I61</f>
        <v>334131.38</v>
      </c>
      <c r="H25" s="801">
        <f t="shared" si="3"/>
        <v>-22159.25</v>
      </c>
      <c r="I25" s="781"/>
      <c r="J25" s="257" t="s">
        <v>1</v>
      </c>
    </row>
    <row r="26" spans="1:16" x14ac:dyDescent="0.25">
      <c r="A26" s="807" t="s">
        <v>778</v>
      </c>
      <c r="B26" s="790">
        <f>'TT entry &amp; transportation'!U160</f>
        <v>3335.57</v>
      </c>
      <c r="C26" s="791">
        <f t="shared" si="0"/>
        <v>6671.14</v>
      </c>
      <c r="D26" s="791">
        <f t="shared" si="1"/>
        <v>5003.3599999999997</v>
      </c>
      <c r="E26" s="792">
        <f>'TT entry &amp; transportation'!K160</f>
        <v>1</v>
      </c>
      <c r="F26" s="791">
        <f t="shared" si="2"/>
        <v>5003.3599999999997</v>
      </c>
      <c r="G26" s="791">
        <f>'Payment T&amp;T LAWSON'!I59</f>
        <v>3726.37</v>
      </c>
      <c r="H26" s="801">
        <f t="shared" si="3"/>
        <v>-1276.99</v>
      </c>
      <c r="I26" s="781"/>
      <c r="J26" s="257" t="s">
        <v>1</v>
      </c>
    </row>
    <row r="27" spans="1:16" x14ac:dyDescent="0.25">
      <c r="A27" s="807" t="s">
        <v>639</v>
      </c>
      <c r="B27" s="790">
        <f>'TT entry &amp; transportation'!U165</f>
        <v>3211.03</v>
      </c>
      <c r="C27" s="791">
        <f t="shared" si="0"/>
        <v>6422.06</v>
      </c>
      <c r="D27" s="791">
        <f t="shared" si="1"/>
        <v>4816.55</v>
      </c>
      <c r="E27" s="792">
        <f>'TT entry &amp; transportation'!K165</f>
        <v>26.000050000000002</v>
      </c>
      <c r="F27" s="791">
        <f t="shared" si="2"/>
        <v>125230.54</v>
      </c>
      <c r="G27" s="791">
        <f>'Payment T&amp;T LAWSON'!I69</f>
        <v>96885.83</v>
      </c>
      <c r="H27" s="801">
        <f t="shared" si="3"/>
        <v>-28344.71</v>
      </c>
      <c r="I27" s="781"/>
      <c r="J27" s="257" t="s">
        <v>1</v>
      </c>
    </row>
    <row r="28" spans="1:16" x14ac:dyDescent="0.25">
      <c r="A28" s="807" t="s">
        <v>14</v>
      </c>
      <c r="B28" s="790">
        <f>'TT entry &amp; transportation'!U170</f>
        <v>2848.52</v>
      </c>
      <c r="C28" s="791">
        <f>B28*2</f>
        <v>5697.04</v>
      </c>
      <c r="D28" s="791">
        <f t="shared" si="1"/>
        <v>4272.78</v>
      </c>
      <c r="E28" s="792">
        <f>'TT entry &amp; transportation'!K170</f>
        <v>176.49995000000001</v>
      </c>
      <c r="F28" s="791">
        <f t="shared" si="2"/>
        <v>754145.46</v>
      </c>
      <c r="G28" s="791">
        <f>'Payment T&amp;T LAWSON'!I71</f>
        <v>657704.28</v>
      </c>
      <c r="H28" s="801">
        <f t="shared" si="3"/>
        <v>-96441.18</v>
      </c>
      <c r="I28" s="781"/>
      <c r="J28" s="257" t="s">
        <v>1</v>
      </c>
    </row>
    <row r="29" spans="1:16" x14ac:dyDescent="0.25">
      <c r="A29" s="807" t="s">
        <v>141</v>
      </c>
      <c r="B29" s="790">
        <f>'TT entry &amp; transportation'!U176</f>
        <v>2042.15</v>
      </c>
      <c r="C29" s="791">
        <f>B29*2</f>
        <v>4084.3</v>
      </c>
      <c r="D29" s="791">
        <f>C29*0.75</f>
        <v>3063.23</v>
      </c>
      <c r="E29" s="792">
        <f>'TT entry &amp; transportation'!K176</f>
        <v>24.5</v>
      </c>
      <c r="F29" s="791">
        <f>D29*E29</f>
        <v>75049.14</v>
      </c>
      <c r="G29" s="791">
        <f>'Payment T&amp;T LAWSON'!I74</f>
        <v>91296.09</v>
      </c>
      <c r="H29" s="801">
        <f>G29-F29</f>
        <v>16246.95</v>
      </c>
      <c r="I29" s="149"/>
      <c r="J29" s="994" t="s">
        <v>1</v>
      </c>
    </row>
    <row r="30" spans="1:16" s="864" customFormat="1" x14ac:dyDescent="0.25">
      <c r="A30" s="996" t="s">
        <v>44</v>
      </c>
      <c r="B30" s="997">
        <f>'TT entry &amp; transportation'!U215</f>
        <v>3003.05</v>
      </c>
      <c r="C30" s="993">
        <f>B30*2</f>
        <v>6006.1</v>
      </c>
      <c r="D30" s="993">
        <f>C30*0.75</f>
        <v>4504.58</v>
      </c>
      <c r="E30" s="400">
        <f>'TT entry &amp; transportation'!K215</f>
        <v>22.333349999999999</v>
      </c>
      <c r="F30" s="993">
        <f>D30*E30</f>
        <v>100602.36</v>
      </c>
      <c r="G30" s="993">
        <f>'Payment T&amp;T LAWSON'!I83</f>
        <v>83222.36</v>
      </c>
      <c r="H30" s="998">
        <f t="shared" ref="H30:H32" si="6">G30-F30</f>
        <v>-17380</v>
      </c>
      <c r="I30" s="922"/>
    </row>
    <row r="31" spans="1:16" s="864" customFormat="1" x14ac:dyDescent="0.25">
      <c r="A31" s="807" t="s">
        <v>39</v>
      </c>
      <c r="B31" s="790">
        <f>'TT entry &amp; transportation'!U222</f>
        <v>3149.47</v>
      </c>
      <c r="C31" s="791">
        <f>B31*2</f>
        <v>6298.94</v>
      </c>
      <c r="D31" s="791">
        <f>C31*0.75</f>
        <v>4724.21</v>
      </c>
      <c r="E31" s="792">
        <f>'TT entry &amp; transportation'!K222</f>
        <v>11.5</v>
      </c>
      <c r="F31" s="791">
        <f>D31*E31</f>
        <v>54328.42</v>
      </c>
      <c r="G31" s="791">
        <f>'Payment T&amp;T LAWSON'!I87</f>
        <v>42853.279999999999</v>
      </c>
      <c r="H31" s="373">
        <f t="shared" si="6"/>
        <v>-11475.14</v>
      </c>
      <c r="I31" s="922"/>
      <c r="J31" s="140" t="s">
        <v>1</v>
      </c>
    </row>
    <row r="32" spans="1:16" s="864" customFormat="1" ht="13.8" thickBot="1" x14ac:dyDescent="0.3">
      <c r="A32" s="808" t="s">
        <v>783</v>
      </c>
      <c r="B32" s="793">
        <f>'TT entry &amp; transportation'!U226</f>
        <v>3803.34</v>
      </c>
      <c r="C32" s="794">
        <f>B32*2</f>
        <v>7606.68</v>
      </c>
      <c r="D32" s="794">
        <f>C32*0.75</f>
        <v>5705.01</v>
      </c>
      <c r="E32" s="795">
        <f>'TT entry &amp; transportation'!K226</f>
        <v>56.166649999999997</v>
      </c>
      <c r="F32" s="794">
        <f>D32*E32</f>
        <v>320431.3</v>
      </c>
      <c r="G32" s="794">
        <f>'Payment T&amp;T LAWSON'!I88</f>
        <v>209297.78</v>
      </c>
      <c r="H32" s="921">
        <f t="shared" si="6"/>
        <v>-111133.52</v>
      </c>
      <c r="I32" s="922"/>
    </row>
    <row r="33" spans="1:9" ht="13.5" customHeight="1" thickBot="1" x14ac:dyDescent="0.3">
      <c r="A33" s="1072" t="s">
        <v>840</v>
      </c>
      <c r="B33" s="1073"/>
      <c r="C33" s="1073"/>
      <c r="D33" s="1073"/>
      <c r="E33" s="1073"/>
      <c r="F33" s="1073"/>
      <c r="G33" s="1073"/>
      <c r="H33" s="1073"/>
      <c r="I33" s="1069" t="s">
        <v>779</v>
      </c>
    </row>
    <row r="34" spans="1:9" x14ac:dyDescent="0.25">
      <c r="A34" s="823" t="s">
        <v>419</v>
      </c>
      <c r="B34" s="813">
        <v>4975</v>
      </c>
      <c r="C34" s="814">
        <f t="shared" ref="C34:C41" si="7">B34*2</f>
        <v>9950</v>
      </c>
      <c r="D34" s="814">
        <f t="shared" ref="D34:D41" si="8">C34*0.75</f>
        <v>7462.5</v>
      </c>
      <c r="E34" s="815">
        <f>'TT entry &amp; transportation'!K178</f>
        <v>3.5</v>
      </c>
      <c r="F34" s="814">
        <f t="shared" ref="F34:F41" si="9">D34*E34</f>
        <v>26118.75</v>
      </c>
      <c r="G34" s="814">
        <f>'TT entry &amp; transportation'!L178</f>
        <v>13042.3</v>
      </c>
      <c r="H34" s="916">
        <f t="shared" ref="H34:H41" si="10">G34-F34</f>
        <v>-13076.45</v>
      </c>
      <c r="I34" s="1070"/>
    </row>
    <row r="35" spans="1:9" x14ac:dyDescent="0.25">
      <c r="A35" s="816" t="s">
        <v>168</v>
      </c>
      <c r="B35" s="817">
        <v>4975</v>
      </c>
      <c r="C35" s="818">
        <f t="shared" si="7"/>
        <v>9950</v>
      </c>
      <c r="D35" s="818">
        <f t="shared" si="8"/>
        <v>7462.5</v>
      </c>
      <c r="E35" s="824">
        <f>'TT entry &amp; transportation'!K179</f>
        <v>1</v>
      </c>
      <c r="F35" s="825">
        <f t="shared" si="9"/>
        <v>7462.5</v>
      </c>
      <c r="G35" s="825">
        <f>'TT entry &amp; transportation'!L179</f>
        <v>3726.37</v>
      </c>
      <c r="H35" s="917">
        <f t="shared" si="10"/>
        <v>-3736.13</v>
      </c>
      <c r="I35" s="1070"/>
    </row>
    <row r="36" spans="1:9" x14ac:dyDescent="0.25">
      <c r="A36" s="816" t="s">
        <v>418</v>
      </c>
      <c r="B36" s="817">
        <v>4975</v>
      </c>
      <c r="C36" s="818">
        <f t="shared" si="7"/>
        <v>9950</v>
      </c>
      <c r="D36" s="818">
        <f t="shared" si="8"/>
        <v>7462.5</v>
      </c>
      <c r="E36" s="824">
        <f>'TT entry &amp; transportation'!K180</f>
        <v>30.5</v>
      </c>
      <c r="F36" s="825">
        <f t="shared" si="9"/>
        <v>227606.25</v>
      </c>
      <c r="G36" s="825">
        <f>'TT entry &amp; transportation'!L180</f>
        <v>113654.31</v>
      </c>
      <c r="H36" s="917">
        <f t="shared" si="10"/>
        <v>-113951.94</v>
      </c>
      <c r="I36" s="1070"/>
    </row>
    <row r="37" spans="1:9" x14ac:dyDescent="0.25">
      <c r="A37" s="816" t="s">
        <v>423</v>
      </c>
      <c r="B37" s="817">
        <v>4975</v>
      </c>
      <c r="C37" s="818">
        <f t="shared" si="7"/>
        <v>9950</v>
      </c>
      <c r="D37" s="818">
        <f t="shared" si="8"/>
        <v>7462.5</v>
      </c>
      <c r="E37" s="819">
        <f>'TT entry &amp; transportation'!K181</f>
        <v>1</v>
      </c>
      <c r="F37" s="825">
        <f t="shared" si="9"/>
        <v>7462.5</v>
      </c>
      <c r="G37" s="818">
        <f>'TT entry &amp; transportation'!L181</f>
        <v>3726.37</v>
      </c>
      <c r="H37" s="917">
        <f t="shared" si="10"/>
        <v>-3736.13</v>
      </c>
      <c r="I37" s="1070"/>
    </row>
    <row r="38" spans="1:9" x14ac:dyDescent="0.25">
      <c r="A38" s="816" t="s">
        <v>489</v>
      </c>
      <c r="B38" s="817">
        <v>4975</v>
      </c>
      <c r="C38" s="818">
        <f t="shared" si="7"/>
        <v>9950</v>
      </c>
      <c r="D38" s="818">
        <f t="shared" si="8"/>
        <v>7462.5</v>
      </c>
      <c r="E38" s="819">
        <f>'TT entry &amp; transportation'!K182</f>
        <v>0</v>
      </c>
      <c r="F38" s="825">
        <f t="shared" si="9"/>
        <v>0</v>
      </c>
      <c r="G38" s="818">
        <f>'TT entry &amp; transportation'!L182</f>
        <v>0</v>
      </c>
      <c r="H38" s="917">
        <f t="shared" si="10"/>
        <v>0</v>
      </c>
      <c r="I38" s="1070"/>
    </row>
    <row r="39" spans="1:9" x14ac:dyDescent="0.25">
      <c r="A39" s="816" t="s">
        <v>417</v>
      </c>
      <c r="B39" s="817">
        <v>4975</v>
      </c>
      <c r="C39" s="818">
        <f t="shared" si="7"/>
        <v>9950</v>
      </c>
      <c r="D39" s="818">
        <f t="shared" si="8"/>
        <v>7462.5</v>
      </c>
      <c r="E39" s="819">
        <f>'TT entry &amp; transportation'!K183</f>
        <v>3</v>
      </c>
      <c r="F39" s="825">
        <f t="shared" si="9"/>
        <v>22387.5</v>
      </c>
      <c r="G39" s="818">
        <f>'TT entry &amp; transportation'!L183</f>
        <v>11179.11</v>
      </c>
      <c r="H39" s="917">
        <f t="shared" si="10"/>
        <v>-11208.39</v>
      </c>
      <c r="I39" s="1070"/>
    </row>
    <row r="40" spans="1:9" x14ac:dyDescent="0.25">
      <c r="A40" s="816" t="s">
        <v>780</v>
      </c>
      <c r="B40" s="817">
        <v>4975</v>
      </c>
      <c r="C40" s="818">
        <f t="shared" si="7"/>
        <v>9950</v>
      </c>
      <c r="D40" s="818">
        <f t="shared" si="8"/>
        <v>7462.5</v>
      </c>
      <c r="E40" s="819">
        <f>'TT entry &amp; transportation'!K184</f>
        <v>4</v>
      </c>
      <c r="F40" s="825">
        <f t="shared" si="9"/>
        <v>29850</v>
      </c>
      <c r="G40" s="818">
        <f>'TT entry &amp; transportation'!L184</f>
        <v>14905.48</v>
      </c>
      <c r="H40" s="917">
        <f t="shared" si="10"/>
        <v>-14944.52</v>
      </c>
      <c r="I40" s="1070"/>
    </row>
    <row r="41" spans="1:9" ht="13.8" thickBot="1" x14ac:dyDescent="0.3">
      <c r="A41" s="826" t="s">
        <v>416</v>
      </c>
      <c r="B41" s="820">
        <v>4975</v>
      </c>
      <c r="C41" s="821">
        <f t="shared" si="7"/>
        <v>9950</v>
      </c>
      <c r="D41" s="821">
        <f t="shared" si="8"/>
        <v>7462.5</v>
      </c>
      <c r="E41" s="822">
        <f>'TT entry &amp; transportation'!K185</f>
        <v>0</v>
      </c>
      <c r="F41" s="827">
        <f t="shared" si="9"/>
        <v>0</v>
      </c>
      <c r="G41" s="821">
        <f>'TT entry &amp; transportation'!L185</f>
        <v>0</v>
      </c>
      <c r="H41" s="918">
        <f t="shared" si="10"/>
        <v>0</v>
      </c>
      <c r="I41" s="1070"/>
    </row>
    <row r="42" spans="1:9" ht="13.8" thickBot="1" x14ac:dyDescent="0.3">
      <c r="A42" s="1103" t="s">
        <v>785</v>
      </c>
      <c r="B42" s="1104"/>
      <c r="C42" s="1104"/>
      <c r="D42" s="1105"/>
      <c r="E42" s="908">
        <f>SUM(E34:E41)</f>
        <v>43</v>
      </c>
      <c r="F42" s="909">
        <f>SUM(F34:F41)</f>
        <v>320887.5</v>
      </c>
      <c r="G42" s="909">
        <f>SUM(G34:G41)</f>
        <v>160233.94</v>
      </c>
      <c r="H42" s="919">
        <f>G42-F42</f>
        <v>-160653.56</v>
      </c>
      <c r="I42" s="1070"/>
    </row>
    <row r="43" spans="1:9" s="864" customFormat="1" ht="13.8" thickBot="1" x14ac:dyDescent="0.3">
      <c r="A43" s="910"/>
      <c r="B43" s="910"/>
      <c r="C43" s="910"/>
      <c r="D43" s="910"/>
      <c r="E43" s="911"/>
      <c r="F43" s="912"/>
      <c r="G43" s="912"/>
      <c r="H43" s="912"/>
      <c r="I43" s="1070"/>
    </row>
    <row r="44" spans="1:9" ht="13.8" thickBot="1" x14ac:dyDescent="0.3">
      <c r="A44" s="1072" t="s">
        <v>140</v>
      </c>
      <c r="B44" s="1073"/>
      <c r="C44" s="1073"/>
      <c r="D44" s="1073"/>
      <c r="E44" s="1073"/>
      <c r="F44" s="1073"/>
      <c r="G44" s="1073"/>
      <c r="H44" s="1073"/>
      <c r="I44" s="1070"/>
    </row>
    <row r="45" spans="1:9" x14ac:dyDescent="0.25">
      <c r="A45" s="903" t="s">
        <v>420</v>
      </c>
      <c r="B45" s="904">
        <v>3333</v>
      </c>
      <c r="C45" s="905">
        <f>B45*2</f>
        <v>6666</v>
      </c>
      <c r="D45" s="905">
        <f>C45*0.75</f>
        <v>4999.5</v>
      </c>
      <c r="E45" s="906">
        <f>'TT entry &amp; transportation'!K187</f>
        <v>3</v>
      </c>
      <c r="F45" s="905">
        <f>D45*E45</f>
        <v>14998.5</v>
      </c>
      <c r="G45" s="905">
        <f>'TT entry &amp; transportation'!L187</f>
        <v>11179.11</v>
      </c>
      <c r="H45" s="920">
        <f>G45-F45</f>
        <v>-3819.39</v>
      </c>
      <c r="I45" s="1070"/>
    </row>
    <row r="46" spans="1:9" x14ac:dyDescent="0.25">
      <c r="A46" s="816" t="s">
        <v>421</v>
      </c>
      <c r="B46" s="817">
        <v>3333</v>
      </c>
      <c r="C46" s="818">
        <f>B46*2</f>
        <v>6666</v>
      </c>
      <c r="D46" s="818">
        <f>C46*0.75</f>
        <v>4999.5</v>
      </c>
      <c r="E46" s="819">
        <f>'TT entry &amp; transportation'!K188</f>
        <v>0</v>
      </c>
      <c r="F46" s="818">
        <f>D46*E46</f>
        <v>0</v>
      </c>
      <c r="G46" s="818">
        <f>'TT entry &amp; transportation'!L188</f>
        <v>0</v>
      </c>
      <c r="H46" s="917">
        <f>G46-F46</f>
        <v>0</v>
      </c>
      <c r="I46" s="1070"/>
    </row>
    <row r="47" spans="1:9" ht="13.8" thickBot="1" x14ac:dyDescent="0.3">
      <c r="A47" s="1106" t="s">
        <v>786</v>
      </c>
      <c r="B47" s="1107"/>
      <c r="C47" s="1107"/>
      <c r="D47" s="1108"/>
      <c r="E47" s="822">
        <f>SUM(E45:E46)</f>
        <v>3</v>
      </c>
      <c r="F47" s="821">
        <f>SUM(F45:F46)</f>
        <v>14998.5</v>
      </c>
      <c r="G47" s="821">
        <f>SUM(G45:G46)</f>
        <v>11179.11</v>
      </c>
      <c r="H47" s="918">
        <f>G47-F47</f>
        <v>-3819.39</v>
      </c>
      <c r="I47" s="1070"/>
    </row>
    <row r="48" spans="1:9" s="864" customFormat="1" ht="13.8" thickBot="1" x14ac:dyDescent="0.3">
      <c r="A48" s="913"/>
      <c r="B48" s="914"/>
      <c r="C48" s="914"/>
      <c r="D48" s="914"/>
      <c r="E48" s="783"/>
      <c r="F48" s="915"/>
      <c r="G48" s="915"/>
      <c r="H48" s="915"/>
      <c r="I48" s="1070"/>
    </row>
    <row r="49" spans="1:9" ht="13.8" thickBot="1" x14ac:dyDescent="0.3">
      <c r="A49" s="1072" t="s">
        <v>62</v>
      </c>
      <c r="B49" s="1073"/>
      <c r="C49" s="1073"/>
      <c r="D49" s="1073"/>
      <c r="E49" s="1073"/>
      <c r="F49" s="1073"/>
      <c r="G49" s="1073"/>
      <c r="H49" s="1073"/>
      <c r="I49" s="1070"/>
    </row>
    <row r="50" spans="1:9" x14ac:dyDescent="0.25">
      <c r="A50" s="903" t="s">
        <v>207</v>
      </c>
      <c r="B50" s="904">
        <v>1950</v>
      </c>
      <c r="C50" s="905">
        <f>B50*2</f>
        <v>3900</v>
      </c>
      <c r="D50" s="905">
        <f>C50*0.75</f>
        <v>2925</v>
      </c>
      <c r="E50" s="906">
        <f>'TT entry &amp; transportation'!K190</f>
        <v>7</v>
      </c>
      <c r="F50" s="905">
        <f>D50*E50</f>
        <v>20475</v>
      </c>
      <c r="G50" s="905">
        <f>'TT entry &amp; transportation'!L190</f>
        <v>26084.6</v>
      </c>
      <c r="H50" s="920">
        <f>G50-F50</f>
        <v>5609.6</v>
      </c>
      <c r="I50" s="1070"/>
    </row>
    <row r="51" spans="1:9" x14ac:dyDescent="0.25">
      <c r="A51" s="816" t="s">
        <v>601</v>
      </c>
      <c r="B51" s="817">
        <v>1950</v>
      </c>
      <c r="C51" s="818">
        <f>B51*2</f>
        <v>3900</v>
      </c>
      <c r="D51" s="818">
        <f>C51*0.75</f>
        <v>2925</v>
      </c>
      <c r="E51" s="819">
        <f>'TT entry &amp; transportation'!K191</f>
        <v>1</v>
      </c>
      <c r="F51" s="818">
        <f>D51*E51</f>
        <v>2925</v>
      </c>
      <c r="G51" s="818">
        <f>'TT entry &amp; transportation'!L191</f>
        <v>3726.37</v>
      </c>
      <c r="H51" s="917">
        <f>G51-F51</f>
        <v>801.37</v>
      </c>
      <c r="I51" s="1070"/>
    </row>
    <row r="52" spans="1:9" x14ac:dyDescent="0.25">
      <c r="A52" s="816" t="s">
        <v>63</v>
      </c>
      <c r="B52" s="817">
        <v>1950</v>
      </c>
      <c r="C52" s="818">
        <f>B52*2</f>
        <v>3900</v>
      </c>
      <c r="D52" s="818">
        <f>C52*0.75</f>
        <v>2925</v>
      </c>
      <c r="E52" s="819">
        <f>'TT entry &amp; transportation'!K192</f>
        <v>1</v>
      </c>
      <c r="F52" s="818">
        <f>D52*E52</f>
        <v>2925</v>
      </c>
      <c r="G52" s="818">
        <f>'TT entry &amp; transportation'!L192</f>
        <v>3726.37</v>
      </c>
      <c r="H52" s="917">
        <f>G52-F52</f>
        <v>801.37</v>
      </c>
      <c r="I52" s="1070"/>
    </row>
    <row r="53" spans="1:9" ht="13.8" thickBot="1" x14ac:dyDescent="0.3">
      <c r="A53" s="1106" t="s">
        <v>787</v>
      </c>
      <c r="B53" s="1107"/>
      <c r="C53" s="1107"/>
      <c r="D53" s="1108"/>
      <c r="E53" s="822">
        <f>SUM(E50:E52)</f>
        <v>9</v>
      </c>
      <c r="F53" s="821">
        <f>SUM(F50:F52)</f>
        <v>26325</v>
      </c>
      <c r="G53" s="821">
        <f>SUM(G50:G52)</f>
        <v>33537.339999999997</v>
      </c>
      <c r="H53" s="918">
        <f>G53-F53</f>
        <v>7212.34</v>
      </c>
      <c r="I53" s="1070"/>
    </row>
    <row r="54" spans="1:9" s="864" customFormat="1" ht="13.8" thickBot="1" x14ac:dyDescent="0.3">
      <c r="A54" s="913"/>
      <c r="B54" s="914"/>
      <c r="C54" s="914"/>
      <c r="D54" s="914"/>
      <c r="E54" s="783"/>
      <c r="F54" s="915"/>
      <c r="G54" s="915"/>
      <c r="H54" s="915"/>
      <c r="I54" s="1070"/>
    </row>
    <row r="55" spans="1:9" ht="13.8" thickBot="1" x14ac:dyDescent="0.3">
      <c r="A55" s="1072" t="s">
        <v>841</v>
      </c>
      <c r="B55" s="1073"/>
      <c r="C55" s="1073"/>
      <c r="D55" s="1073"/>
      <c r="E55" s="1073"/>
      <c r="F55" s="1073"/>
      <c r="G55" s="1073"/>
      <c r="H55" s="1073"/>
      <c r="I55" s="1070"/>
    </row>
    <row r="56" spans="1:9" x14ac:dyDescent="0.25">
      <c r="A56" s="907" t="s">
        <v>27</v>
      </c>
      <c r="B56" s="904">
        <v>9550</v>
      </c>
      <c r="C56" s="905">
        <f>B56*2</f>
        <v>19100</v>
      </c>
      <c r="D56" s="905">
        <f>C56*0.75</f>
        <v>14325</v>
      </c>
      <c r="E56" s="906">
        <f>'TT entry &amp; transportation'!K195</f>
        <v>41.5</v>
      </c>
      <c r="F56" s="905">
        <f>D56*E56</f>
        <v>594487.5</v>
      </c>
      <c r="G56" s="905">
        <f>'TT entry &amp; transportation'!L195</f>
        <v>154644.39000000001</v>
      </c>
      <c r="H56" s="920">
        <f>G56-F56</f>
        <v>-439843.11</v>
      </c>
      <c r="I56" s="1070"/>
    </row>
    <row r="57" spans="1:9" x14ac:dyDescent="0.25">
      <c r="A57" s="816" t="s">
        <v>422</v>
      </c>
      <c r="B57" s="817">
        <v>9550</v>
      </c>
      <c r="C57" s="818">
        <f>B57*2</f>
        <v>19100</v>
      </c>
      <c r="D57" s="818">
        <f>C57*0.75</f>
        <v>14325</v>
      </c>
      <c r="E57" s="819">
        <f>'TT entry &amp; transportation'!K196</f>
        <v>9</v>
      </c>
      <c r="F57" s="818">
        <f>D57*E57</f>
        <v>128925</v>
      </c>
      <c r="G57" s="818">
        <f>'TT entry &amp; transportation'!L196</f>
        <v>33537.339999999997</v>
      </c>
      <c r="H57" s="917">
        <f>G57-F57</f>
        <v>-95387.66</v>
      </c>
      <c r="I57" s="1070"/>
    </row>
    <row r="58" spans="1:9" x14ac:dyDescent="0.25">
      <c r="A58" s="816" t="s">
        <v>192</v>
      </c>
      <c r="B58" s="817">
        <v>9550</v>
      </c>
      <c r="C58" s="818">
        <f t="shared" ref="C58:C63" si="11">B58*2</f>
        <v>19100</v>
      </c>
      <c r="D58" s="818">
        <f t="shared" ref="D58:D63" si="12">C58*0.75</f>
        <v>14325</v>
      </c>
      <c r="E58" s="819">
        <f>'TT entry &amp; transportation'!K197</f>
        <v>0</v>
      </c>
      <c r="F58" s="818">
        <f t="shared" ref="F58:F63" si="13">D58*E58</f>
        <v>0</v>
      </c>
      <c r="G58" s="818">
        <f>'TT entry &amp; transportation'!L197</f>
        <v>0</v>
      </c>
      <c r="H58" s="917">
        <f t="shared" ref="H58:H63" si="14">G58-F58</f>
        <v>0</v>
      </c>
      <c r="I58" s="1070"/>
    </row>
    <row r="59" spans="1:9" x14ac:dyDescent="0.25">
      <c r="A59" s="816" t="s">
        <v>781</v>
      </c>
      <c r="B59" s="817">
        <v>9550</v>
      </c>
      <c r="C59" s="818">
        <f t="shared" si="11"/>
        <v>19100</v>
      </c>
      <c r="D59" s="818">
        <f t="shared" si="12"/>
        <v>14325</v>
      </c>
      <c r="E59" s="819">
        <f>'TT entry &amp; transportation'!K198</f>
        <v>51.5</v>
      </c>
      <c r="F59" s="818">
        <f t="shared" si="13"/>
        <v>737737.5</v>
      </c>
      <c r="G59" s="818">
        <f>'TT entry &amp; transportation'!L198</f>
        <v>191908.1</v>
      </c>
      <c r="H59" s="917">
        <f t="shared" si="14"/>
        <v>-545829.4</v>
      </c>
      <c r="I59" s="1070"/>
    </row>
    <row r="60" spans="1:9" x14ac:dyDescent="0.25">
      <c r="A60" s="816" t="s">
        <v>423</v>
      </c>
      <c r="B60" s="817">
        <v>9550</v>
      </c>
      <c r="C60" s="818">
        <f t="shared" si="11"/>
        <v>19100</v>
      </c>
      <c r="D60" s="818">
        <f t="shared" si="12"/>
        <v>14325</v>
      </c>
      <c r="E60" s="819">
        <f>'TT entry &amp; transportation'!K199</f>
        <v>3</v>
      </c>
      <c r="F60" s="818">
        <f t="shared" si="13"/>
        <v>42975</v>
      </c>
      <c r="G60" s="818">
        <f>'TT entry &amp; transportation'!L199</f>
        <v>11179.11</v>
      </c>
      <c r="H60" s="917">
        <f t="shared" si="14"/>
        <v>-31795.89</v>
      </c>
      <c r="I60" s="1070"/>
    </row>
    <row r="61" spans="1:9" x14ac:dyDescent="0.25">
      <c r="A61" s="816" t="s">
        <v>424</v>
      </c>
      <c r="B61" s="817">
        <v>9550</v>
      </c>
      <c r="C61" s="818">
        <f t="shared" si="11"/>
        <v>19100</v>
      </c>
      <c r="D61" s="818">
        <f t="shared" si="12"/>
        <v>14325</v>
      </c>
      <c r="E61" s="819">
        <f>'TT entry &amp; transportation'!K200</f>
        <v>0</v>
      </c>
      <c r="F61" s="818">
        <f t="shared" si="13"/>
        <v>0</v>
      </c>
      <c r="G61" s="818">
        <f>'TT entry &amp; transportation'!L200</f>
        <v>0</v>
      </c>
      <c r="H61" s="917">
        <f t="shared" si="14"/>
        <v>0</v>
      </c>
      <c r="I61" s="1070"/>
    </row>
    <row r="62" spans="1:9" x14ac:dyDescent="0.25">
      <c r="A62" s="816" t="s">
        <v>780</v>
      </c>
      <c r="B62" s="817">
        <v>9550</v>
      </c>
      <c r="C62" s="818">
        <f t="shared" si="11"/>
        <v>19100</v>
      </c>
      <c r="D62" s="818">
        <f t="shared" si="12"/>
        <v>14325</v>
      </c>
      <c r="E62" s="819">
        <f>'TT entry &amp; transportation'!K201</f>
        <v>1</v>
      </c>
      <c r="F62" s="818">
        <f t="shared" si="13"/>
        <v>14325</v>
      </c>
      <c r="G62" s="818">
        <f>'TT entry &amp; transportation'!L201</f>
        <v>3726.37</v>
      </c>
      <c r="H62" s="917">
        <f t="shared" si="14"/>
        <v>-10598.63</v>
      </c>
      <c r="I62" s="1070"/>
    </row>
    <row r="63" spans="1:9" x14ac:dyDescent="0.25">
      <c r="A63" s="816" t="s">
        <v>416</v>
      </c>
      <c r="B63" s="817">
        <v>9550</v>
      </c>
      <c r="C63" s="818">
        <f t="shared" si="11"/>
        <v>19100</v>
      </c>
      <c r="D63" s="818">
        <f t="shared" si="12"/>
        <v>14325</v>
      </c>
      <c r="E63" s="819">
        <f>'TT entry &amp; transportation'!K202</f>
        <v>0</v>
      </c>
      <c r="F63" s="818">
        <f t="shared" si="13"/>
        <v>0</v>
      </c>
      <c r="G63" s="818">
        <f>'TT entry &amp; transportation'!L202</f>
        <v>0</v>
      </c>
      <c r="H63" s="917">
        <f t="shared" si="14"/>
        <v>0</v>
      </c>
      <c r="I63" s="1070"/>
    </row>
    <row r="64" spans="1:9" ht="13.8" thickBot="1" x14ac:dyDescent="0.3">
      <c r="A64" s="1106" t="s">
        <v>788</v>
      </c>
      <c r="B64" s="1107"/>
      <c r="C64" s="1107"/>
      <c r="D64" s="1108"/>
      <c r="E64" s="822">
        <f>SUM(E56:E63)</f>
        <v>106</v>
      </c>
      <c r="F64" s="821">
        <f>SUM(F56:F63)</f>
        <v>1518450</v>
      </c>
      <c r="G64" s="821">
        <f>SUM(G56:G63)</f>
        <v>394995.31</v>
      </c>
      <c r="H64" s="918">
        <f>G64-F64</f>
        <v>-1123454.69</v>
      </c>
      <c r="I64" s="1070"/>
    </row>
    <row r="65" spans="1:9" s="864" customFormat="1" ht="13.8" thickBot="1" x14ac:dyDescent="0.3">
      <c r="A65" s="913"/>
      <c r="B65" s="914"/>
      <c r="C65" s="914"/>
      <c r="D65" s="914"/>
      <c r="E65" s="783"/>
      <c r="F65" s="915"/>
      <c r="G65" s="915"/>
      <c r="H65" s="915"/>
      <c r="I65" s="1070"/>
    </row>
    <row r="66" spans="1:9" ht="13.8" thickBot="1" x14ac:dyDescent="0.3">
      <c r="A66" s="1072" t="s">
        <v>55</v>
      </c>
      <c r="B66" s="1073"/>
      <c r="C66" s="1073"/>
      <c r="D66" s="1073"/>
      <c r="E66" s="1073"/>
      <c r="F66" s="1073"/>
      <c r="G66" s="1073"/>
      <c r="H66" s="1073"/>
      <c r="I66" s="1070"/>
    </row>
    <row r="67" spans="1:9" x14ac:dyDescent="0.25">
      <c r="A67" s="903" t="s">
        <v>782</v>
      </c>
      <c r="B67" s="904">
        <v>1451.4</v>
      </c>
      <c r="C67" s="905">
        <f>B67*2</f>
        <v>2902.8</v>
      </c>
      <c r="D67" s="905">
        <f>C67*0.75</f>
        <v>2177.1</v>
      </c>
      <c r="E67" s="906">
        <f>'TT entry &amp; transportation'!K206</f>
        <v>17.5</v>
      </c>
      <c r="F67" s="905">
        <f>D67*E67</f>
        <v>38099.25</v>
      </c>
      <c r="G67" s="905">
        <f>'TT entry &amp; transportation'!L206</f>
        <v>65211.49</v>
      </c>
      <c r="H67" s="920">
        <f t="shared" ref="H67:H68" si="15">G67-F67</f>
        <v>27112.240000000002</v>
      </c>
      <c r="I67" s="1070"/>
    </row>
    <row r="68" spans="1:9" ht="13.8" thickBot="1" x14ac:dyDescent="0.3">
      <c r="A68" s="1106" t="s">
        <v>789</v>
      </c>
      <c r="B68" s="1107"/>
      <c r="C68" s="1107"/>
      <c r="D68" s="1108"/>
      <c r="E68" s="822">
        <f>E67</f>
        <v>17.5</v>
      </c>
      <c r="F68" s="821">
        <f>F67</f>
        <v>38099.25</v>
      </c>
      <c r="G68" s="821">
        <f>G67</f>
        <v>65211.49</v>
      </c>
      <c r="H68" s="918">
        <f t="shared" si="15"/>
        <v>27112.240000000002</v>
      </c>
      <c r="I68" s="1071"/>
    </row>
    <row r="69" spans="1:9" ht="13.8" thickBot="1" x14ac:dyDescent="0.3">
      <c r="A69" s="785" t="s">
        <v>1</v>
      </c>
      <c r="B69" s="804"/>
      <c r="C69" s="804"/>
      <c r="D69" s="1074" t="s">
        <v>842</v>
      </c>
      <c r="E69" s="1074"/>
      <c r="F69" s="812">
        <f>SUM(F5:F32)+F42+F47+F53+F64+F68</f>
        <v>11386120.470000001</v>
      </c>
      <c r="G69" s="799">
        <f>SUM(G5:G32)+G42+G47+G53+G64+G68</f>
        <v>8227826.2599999998</v>
      </c>
      <c r="H69" s="805">
        <f>G69-F69</f>
        <v>-3158294.21</v>
      </c>
      <c r="I69" s="781"/>
    </row>
    <row r="70" spans="1:9" x14ac:dyDescent="0.25">
      <c r="A70" s="784"/>
      <c r="B70" s="782"/>
      <c r="C70" s="782"/>
      <c r="D70" s="787"/>
      <c r="E70" s="783"/>
      <c r="F70" s="786" t="s">
        <v>1</v>
      </c>
      <c r="G70" s="786" t="s">
        <v>1</v>
      </c>
      <c r="H70" s="781"/>
      <c r="I70" s="781"/>
    </row>
    <row r="71" spans="1:9" ht="13.8" thickBot="1" x14ac:dyDescent="0.3">
      <c r="A71" s="784"/>
      <c r="B71" s="782"/>
      <c r="C71" s="782"/>
      <c r="D71" s="787"/>
      <c r="E71" s="783"/>
      <c r="F71" s="788"/>
      <c r="G71" s="788"/>
      <c r="H71" s="781"/>
      <c r="I71" s="781"/>
    </row>
    <row r="72" spans="1:9" ht="14.4" thickBot="1" x14ac:dyDescent="0.3">
      <c r="A72" s="1094" t="s">
        <v>549</v>
      </c>
      <c r="B72" s="1095"/>
      <c r="C72" s="1095"/>
      <c r="D72" s="1095"/>
      <c r="E72" s="1095"/>
      <c r="F72" s="1095"/>
      <c r="G72" s="1095"/>
      <c r="H72" s="1096"/>
    </row>
    <row r="73" spans="1:9" ht="53.4" thickBot="1" x14ac:dyDescent="0.3">
      <c r="A73" s="856" t="s">
        <v>777</v>
      </c>
      <c r="B73" s="857" t="s">
        <v>790</v>
      </c>
      <c r="C73" s="857" t="s">
        <v>608</v>
      </c>
      <c r="D73" s="857" t="s">
        <v>791</v>
      </c>
      <c r="E73" s="858" t="s">
        <v>839</v>
      </c>
      <c r="F73" s="858" t="s">
        <v>793</v>
      </c>
      <c r="G73" s="858" t="s">
        <v>909</v>
      </c>
      <c r="H73" s="857" t="s">
        <v>910</v>
      </c>
    </row>
    <row r="74" spans="1:9" x14ac:dyDescent="0.25">
      <c r="A74" s="849" t="s">
        <v>153</v>
      </c>
      <c r="B74" s="900">
        <v>0</v>
      </c>
      <c r="C74" s="842">
        <f>B74*2</f>
        <v>0</v>
      </c>
      <c r="D74" s="842">
        <f>C74*0.75</f>
        <v>0</v>
      </c>
      <c r="E74" s="841">
        <f>'TT entry &amp; transportation'!K236</f>
        <v>0</v>
      </c>
      <c r="F74" s="842">
        <f>D74*E74</f>
        <v>0</v>
      </c>
      <c r="G74" s="842">
        <f>'Payment T&amp;T LAWSON'!L33</f>
        <v>0</v>
      </c>
      <c r="H74" s="843">
        <f>G74-F74</f>
        <v>0</v>
      </c>
    </row>
    <row r="75" spans="1:9" x14ac:dyDescent="0.25">
      <c r="A75" s="851" t="s">
        <v>29</v>
      </c>
      <c r="B75" s="902">
        <v>250</v>
      </c>
      <c r="C75" s="852">
        <f>B75*2</f>
        <v>500</v>
      </c>
      <c r="D75" s="853">
        <f>C75*0.75</f>
        <v>375</v>
      </c>
      <c r="E75" s="854">
        <f>'TT entry &amp; transportation'!K245</f>
        <v>18.5</v>
      </c>
      <c r="F75" s="852">
        <f>D75*E75</f>
        <v>6937.5</v>
      </c>
      <c r="G75" s="852">
        <f>'Payment T&amp;T LAWSON'!L39</f>
        <v>6937.5</v>
      </c>
      <c r="H75" s="855">
        <f>G75-F75</f>
        <v>0</v>
      </c>
    </row>
    <row r="76" spans="1:9" x14ac:dyDescent="0.25">
      <c r="A76" s="850" t="s">
        <v>59</v>
      </c>
      <c r="B76" s="901">
        <v>0</v>
      </c>
      <c r="C76" s="840">
        <f>B76*2</f>
        <v>0</v>
      </c>
      <c r="D76" s="848">
        <f>C76*0.75</f>
        <v>0</v>
      </c>
      <c r="E76" s="841">
        <f>'TT entry &amp; transportation'!K247</f>
        <v>0</v>
      </c>
      <c r="F76" s="840">
        <f>D76*E76</f>
        <v>0</v>
      </c>
      <c r="G76" s="840">
        <f>'Payment T&amp;T LAWSON'!L37</f>
        <v>0</v>
      </c>
      <c r="H76" s="844">
        <f>G76-F76</f>
        <v>0</v>
      </c>
    </row>
    <row r="77" spans="1:9" s="864" customFormat="1" x14ac:dyDescent="0.25">
      <c r="A77" s="1001" t="s">
        <v>32</v>
      </c>
      <c r="B77" s="1002">
        <v>0</v>
      </c>
      <c r="C77" s="1003">
        <f>B77*2</f>
        <v>0</v>
      </c>
      <c r="D77" s="1004">
        <f>C77*0.75</f>
        <v>0</v>
      </c>
      <c r="E77" s="1005">
        <f>'TT entry &amp; transportation'!K250</f>
        <v>0</v>
      </c>
      <c r="F77" s="1003">
        <f>D77*E77</f>
        <v>0</v>
      </c>
      <c r="G77" s="1003">
        <f>'Payment T&amp;T LAWSON'!L49</f>
        <v>0</v>
      </c>
      <c r="H77" s="1006">
        <f>G77-F77</f>
        <v>0</v>
      </c>
    </row>
    <row r="78" spans="1:9" ht="13.8" thickBot="1" x14ac:dyDescent="0.3">
      <c r="A78" s="1007" t="s">
        <v>269</v>
      </c>
      <c r="B78" s="1008">
        <v>4195</v>
      </c>
      <c r="C78" s="1009">
        <f>B78*2</f>
        <v>8390</v>
      </c>
      <c r="D78" s="1010">
        <f>C78*0.75</f>
        <v>6292.5</v>
      </c>
      <c r="E78" s="1011">
        <f>'TT entry &amp; transportation'!K249</f>
        <v>1</v>
      </c>
      <c r="F78" s="1009">
        <f>D78*E78</f>
        <v>6292.5</v>
      </c>
      <c r="G78" s="1009">
        <f>'Payment T&amp;T LAWSON'!L61</f>
        <v>6292.5</v>
      </c>
      <c r="H78" s="1012">
        <f>G78-F78</f>
        <v>0</v>
      </c>
    </row>
    <row r="79" spans="1:9" ht="13.8" thickBot="1" x14ac:dyDescent="0.3">
      <c r="A79" s="832"/>
      <c r="B79" s="838"/>
      <c r="C79" s="838"/>
      <c r="D79" s="1075" t="s">
        <v>843</v>
      </c>
      <c r="E79" s="1076"/>
      <c r="F79" s="847">
        <f>SUM(F74:F78)</f>
        <v>13230</v>
      </c>
      <c r="G79" s="847">
        <f>SUM(G74:G78)</f>
        <v>13230</v>
      </c>
      <c r="H79" s="845">
        <f>SUM(H74:H78)</f>
        <v>0</v>
      </c>
    </row>
    <row r="80" spans="1:9" ht="13.8" thickBot="1" x14ac:dyDescent="0.3">
      <c r="A80" s="833"/>
      <c r="B80" s="831"/>
      <c r="C80" s="831"/>
      <c r="D80" s="831"/>
      <c r="E80" s="828"/>
      <c r="F80" s="828"/>
      <c r="G80" s="828"/>
      <c r="H80" s="828"/>
    </row>
    <row r="81" spans="1:8" ht="14.4" thickBot="1" x14ac:dyDescent="0.3">
      <c r="A81" s="1077" t="s">
        <v>784</v>
      </c>
      <c r="B81" s="1078"/>
      <c r="C81" s="1078"/>
      <c r="D81" s="1079"/>
      <c r="E81" s="829" t="s">
        <v>1</v>
      </c>
      <c r="F81" s="828"/>
      <c r="G81" s="925">
        <f>G69+G79</f>
        <v>8241056.2599999998</v>
      </c>
      <c r="H81" s="828"/>
    </row>
    <row r="82" spans="1:8" x14ac:dyDescent="0.25">
      <c r="A82" s="1081" t="s">
        <v>795</v>
      </c>
      <c r="B82" s="1082"/>
      <c r="C82" s="1083"/>
      <c r="D82" s="860">
        <f>F69</f>
        <v>11386120.470000001</v>
      </c>
      <c r="E82" s="828"/>
      <c r="F82" s="828"/>
      <c r="G82" s="828"/>
      <c r="H82" s="828"/>
    </row>
    <row r="83" spans="1:8" x14ac:dyDescent="0.25">
      <c r="A83" s="1084" t="s">
        <v>796</v>
      </c>
      <c r="B83" s="1085"/>
      <c r="C83" s="1086"/>
      <c r="D83" s="861">
        <f>F79</f>
        <v>13230</v>
      </c>
      <c r="E83" s="828"/>
      <c r="F83" s="828"/>
      <c r="G83" s="828"/>
      <c r="H83" s="828"/>
    </row>
    <row r="84" spans="1:8" x14ac:dyDescent="0.25">
      <c r="A84" s="1084" t="s">
        <v>526</v>
      </c>
      <c r="B84" s="1085"/>
      <c r="C84" s="1086"/>
      <c r="D84" s="861">
        <f>'Payment T&amp;T LAWSON'!K90+'Payment T&amp;T LAWSON'!M90</f>
        <v>584690.15</v>
      </c>
      <c r="E84" s="832"/>
      <c r="F84" s="837"/>
      <c r="G84" s="837"/>
      <c r="H84" s="828"/>
    </row>
    <row r="85" spans="1:8" ht="13.8" thickBot="1" x14ac:dyDescent="0.3">
      <c r="A85" s="1087" t="s">
        <v>525</v>
      </c>
      <c r="B85" s="1088"/>
      <c r="C85" s="1089"/>
      <c r="D85" s="862">
        <f>'Payment T&amp;T LAWSON'!J90</f>
        <v>170527.22</v>
      </c>
      <c r="E85" s="832"/>
      <c r="F85" s="835"/>
      <c r="G85" s="835"/>
      <c r="H85" s="828"/>
    </row>
    <row r="86" spans="1:8" x14ac:dyDescent="0.25">
      <c r="A86" s="834" t="s">
        <v>1</v>
      </c>
      <c r="B86" s="834" t="s">
        <v>1</v>
      </c>
      <c r="C86" s="859" t="s">
        <v>794</v>
      </c>
      <c r="D86" s="836">
        <f>SUM(D82:D85)</f>
        <v>12154567.84</v>
      </c>
      <c r="E86" s="838" t="s">
        <v>1</v>
      </c>
      <c r="F86" s="832"/>
      <c r="G86" s="832"/>
      <c r="H86" s="828"/>
    </row>
    <row r="87" spans="1:8" x14ac:dyDescent="0.25">
      <c r="A87" s="833"/>
      <c r="B87" s="831"/>
      <c r="C87" s="831"/>
      <c r="D87" s="839"/>
      <c r="E87" s="832"/>
      <c r="F87" s="839"/>
      <c r="G87" s="839" t="s">
        <v>1</v>
      </c>
      <c r="H87" s="839" t="s">
        <v>1</v>
      </c>
    </row>
    <row r="88" spans="1:8" ht="16.8" x14ac:dyDescent="0.55000000000000004">
      <c r="A88" s="834" t="s">
        <v>1</v>
      </c>
      <c r="B88" s="1080" t="s">
        <v>798</v>
      </c>
      <c r="C88" s="1080"/>
      <c r="D88" s="846">
        <f>'TT entry &amp; transportation'!B255</f>
        <v>9000000</v>
      </c>
      <c r="E88" s="833"/>
      <c r="F88" s="833"/>
      <c r="G88" s="833"/>
      <c r="H88" s="828"/>
    </row>
    <row r="89" spans="1:8" x14ac:dyDescent="0.25">
      <c r="A89" s="834" t="s">
        <v>1</v>
      </c>
      <c r="B89" s="1080" t="s">
        <v>797</v>
      </c>
      <c r="C89" s="1080"/>
      <c r="D89" s="831">
        <f>D88-D86</f>
        <v>-3154567.84</v>
      </c>
      <c r="E89" s="833" t="s">
        <v>1</v>
      </c>
      <c r="F89" s="831" t="s">
        <v>1</v>
      </c>
      <c r="G89" s="833"/>
      <c r="H89" s="828"/>
    </row>
    <row r="90" spans="1:8" x14ac:dyDescent="0.25">
      <c r="A90" s="834"/>
      <c r="B90" s="859"/>
      <c r="C90" s="859"/>
      <c r="D90" s="831" t="s">
        <v>1</v>
      </c>
      <c r="E90" s="833"/>
      <c r="F90" s="831"/>
      <c r="G90" s="833"/>
      <c r="H90" s="828"/>
    </row>
    <row r="91" spans="1:8" x14ac:dyDescent="0.25">
      <c r="A91" s="834"/>
      <c r="B91" s="859"/>
      <c r="C91" s="859"/>
      <c r="D91" s="831"/>
      <c r="E91" s="833"/>
      <c r="F91" s="831"/>
      <c r="G91" s="833"/>
      <c r="H91" s="828"/>
    </row>
    <row r="92" spans="1:8" x14ac:dyDescent="0.25">
      <c r="A92" s="1068" t="s">
        <v>834</v>
      </c>
      <c r="B92" s="1068"/>
      <c r="C92" s="1068"/>
      <c r="D92" s="831">
        <f>'TT entry &amp; transportation'!B266</f>
        <v>3726.37</v>
      </c>
      <c r="E92" s="833"/>
      <c r="F92" s="833"/>
      <c r="G92" s="833"/>
      <c r="H92" s="828"/>
    </row>
    <row r="93" spans="1:8" x14ac:dyDescent="0.25">
      <c r="A93" s="830" t="s">
        <v>911</v>
      </c>
      <c r="B93" s="831"/>
      <c r="C93" s="831"/>
      <c r="D93" s="831"/>
      <c r="E93" s="833"/>
      <c r="F93" s="833"/>
      <c r="G93" s="833"/>
      <c r="H93" s="828"/>
    </row>
    <row r="94" spans="1:8" x14ac:dyDescent="0.25">
      <c r="A94" s="784"/>
      <c r="B94" s="782"/>
      <c r="C94" s="782"/>
      <c r="D94" s="782"/>
      <c r="E94" s="784"/>
      <c r="F94" s="784"/>
      <c r="G94" s="784"/>
    </row>
    <row r="95" spans="1:8" x14ac:dyDescent="0.25">
      <c r="A95" s="784"/>
      <c r="B95" s="782"/>
      <c r="C95" s="782"/>
      <c r="D95" s="782"/>
      <c r="E95" s="784"/>
      <c r="F95" s="784"/>
      <c r="G95" s="784"/>
    </row>
    <row r="96" spans="1:8" x14ac:dyDescent="0.25">
      <c r="A96" s="784"/>
      <c r="B96" s="782"/>
      <c r="C96" s="782"/>
      <c r="D96" s="782"/>
      <c r="E96" s="784"/>
      <c r="F96" s="784"/>
      <c r="G96" s="784"/>
    </row>
    <row r="97" spans="1:7" x14ac:dyDescent="0.25">
      <c r="A97" s="784"/>
      <c r="B97" s="782"/>
      <c r="C97" s="782"/>
      <c r="D97" s="782"/>
      <c r="E97" s="784"/>
      <c r="F97" s="784"/>
      <c r="G97" s="784"/>
    </row>
    <row r="98" spans="1:7" x14ac:dyDescent="0.25">
      <c r="A98" s="784"/>
      <c r="B98" s="782"/>
      <c r="C98" s="782"/>
      <c r="D98" s="782"/>
      <c r="E98" s="784"/>
      <c r="F98" s="784"/>
      <c r="G98" s="784"/>
    </row>
    <row r="99" spans="1:7" x14ac:dyDescent="0.25">
      <c r="A99" s="784"/>
      <c r="B99" s="782"/>
      <c r="C99" s="782"/>
      <c r="D99" s="782"/>
      <c r="E99" s="784"/>
      <c r="F99" s="784"/>
      <c r="G99" s="784"/>
    </row>
    <row r="100" spans="1:7" x14ac:dyDescent="0.25">
      <c r="A100" s="784"/>
      <c r="B100" s="782"/>
      <c r="C100" s="782"/>
      <c r="D100" s="782"/>
      <c r="E100" s="784"/>
      <c r="F100" s="784"/>
      <c r="G100" s="784"/>
    </row>
    <row r="101" spans="1:7" x14ac:dyDescent="0.25">
      <c r="A101" s="784"/>
      <c r="B101" s="782"/>
      <c r="C101" s="782"/>
      <c r="D101" s="782"/>
      <c r="E101" s="784"/>
      <c r="F101" s="784"/>
      <c r="G101" s="784"/>
    </row>
    <row r="102" spans="1:7" x14ac:dyDescent="0.25">
      <c r="A102" s="784"/>
      <c r="B102" s="782"/>
      <c r="C102" s="782"/>
      <c r="D102" s="782"/>
      <c r="E102" s="784"/>
      <c r="F102" s="784"/>
      <c r="G102" s="784"/>
    </row>
    <row r="103" spans="1:7" x14ac:dyDescent="0.25">
      <c r="A103" s="784"/>
      <c r="B103" s="782"/>
      <c r="C103" s="782"/>
      <c r="D103" s="782"/>
      <c r="E103" s="784"/>
      <c r="F103" s="784"/>
      <c r="G103" s="784"/>
    </row>
    <row r="104" spans="1:7" x14ac:dyDescent="0.25">
      <c r="A104" s="784"/>
      <c r="B104" s="782"/>
      <c r="C104" s="782"/>
      <c r="D104" s="782"/>
      <c r="E104" s="784"/>
      <c r="F104" s="784"/>
      <c r="G104" s="784"/>
    </row>
    <row r="105" spans="1:7" x14ac:dyDescent="0.25">
      <c r="A105" s="784"/>
      <c r="B105" s="782"/>
      <c r="C105" s="782"/>
      <c r="D105" s="782"/>
      <c r="E105" s="784"/>
      <c r="F105" s="784"/>
      <c r="G105" s="784"/>
    </row>
    <row r="106" spans="1:7" x14ac:dyDescent="0.25">
      <c r="A106" s="784"/>
      <c r="B106" s="782"/>
      <c r="C106" s="782"/>
      <c r="D106" s="782"/>
      <c r="E106" s="784"/>
      <c r="F106" s="784"/>
      <c r="G106" s="784"/>
    </row>
    <row r="107" spans="1:7" x14ac:dyDescent="0.25">
      <c r="A107" s="784"/>
      <c r="B107" s="782"/>
      <c r="C107" s="782"/>
      <c r="D107" s="782"/>
      <c r="E107" s="784"/>
      <c r="F107" s="784"/>
      <c r="G107" s="784"/>
    </row>
    <row r="108" spans="1:7" x14ac:dyDescent="0.25">
      <c r="A108" s="784"/>
      <c r="B108" s="782"/>
      <c r="C108" s="782"/>
      <c r="D108" s="782"/>
      <c r="E108" s="784"/>
      <c r="F108" s="784"/>
      <c r="G108" s="784"/>
    </row>
    <row r="109" spans="1:7" x14ac:dyDescent="0.25">
      <c r="A109" s="784"/>
      <c r="B109" s="782"/>
      <c r="C109" s="782"/>
      <c r="D109" s="782"/>
      <c r="E109" s="784"/>
      <c r="F109" s="784"/>
      <c r="G109" s="784"/>
    </row>
    <row r="110" spans="1:7" x14ac:dyDescent="0.25">
      <c r="A110" s="784"/>
      <c r="B110" s="782"/>
      <c r="C110" s="782"/>
      <c r="D110" s="782"/>
      <c r="E110" s="784"/>
      <c r="F110" s="784"/>
      <c r="G110" s="784"/>
    </row>
    <row r="111" spans="1:7" x14ac:dyDescent="0.25">
      <c r="A111" s="784"/>
      <c r="B111" s="782"/>
      <c r="C111" s="782"/>
      <c r="D111" s="782"/>
      <c r="E111" s="784"/>
      <c r="F111" s="784"/>
      <c r="G111" s="784"/>
    </row>
    <row r="112" spans="1:7" x14ac:dyDescent="0.25">
      <c r="A112" s="784"/>
      <c r="B112" s="782"/>
      <c r="C112" s="782"/>
      <c r="D112" s="782"/>
      <c r="E112" s="784"/>
      <c r="F112" s="784"/>
      <c r="G112" s="784"/>
    </row>
    <row r="113" spans="1:7" x14ac:dyDescent="0.25">
      <c r="A113" s="784"/>
      <c r="B113" s="782"/>
      <c r="C113" s="782"/>
      <c r="D113" s="782"/>
      <c r="E113" s="784"/>
      <c r="F113" s="784"/>
      <c r="G113" s="784"/>
    </row>
    <row r="114" spans="1:7" x14ac:dyDescent="0.25">
      <c r="A114" s="784"/>
      <c r="B114" s="782"/>
      <c r="C114" s="782"/>
      <c r="D114" s="782"/>
      <c r="E114" s="784"/>
      <c r="F114" s="784"/>
      <c r="G114" s="784"/>
    </row>
    <row r="115" spans="1:7" x14ac:dyDescent="0.25">
      <c r="A115" s="784"/>
      <c r="B115" s="782"/>
      <c r="C115" s="782"/>
      <c r="D115" s="782"/>
      <c r="E115" s="784"/>
      <c r="F115" s="784"/>
      <c r="G115" s="784"/>
    </row>
    <row r="116" spans="1:7" x14ac:dyDescent="0.25">
      <c r="A116" s="784"/>
      <c r="B116" s="782"/>
      <c r="C116" s="782"/>
      <c r="D116" s="782"/>
      <c r="E116" s="784"/>
      <c r="F116" s="784"/>
      <c r="G116" s="784"/>
    </row>
    <row r="117" spans="1:7" x14ac:dyDescent="0.25">
      <c r="A117" s="784"/>
      <c r="B117" s="782"/>
      <c r="C117" s="782"/>
      <c r="D117" s="782"/>
      <c r="E117" s="784"/>
      <c r="F117" s="784"/>
      <c r="G117" s="784"/>
    </row>
    <row r="118" spans="1:7" x14ac:dyDescent="0.25">
      <c r="A118" s="784"/>
      <c r="B118" s="782"/>
      <c r="C118" s="782"/>
      <c r="D118" s="782"/>
      <c r="E118" s="784"/>
      <c r="F118" s="784"/>
      <c r="G118" s="784"/>
    </row>
    <row r="119" spans="1:7" x14ac:dyDescent="0.25">
      <c r="A119" s="784"/>
      <c r="B119" s="782"/>
      <c r="C119" s="782"/>
      <c r="D119" s="782"/>
      <c r="E119" s="784"/>
      <c r="F119" s="784"/>
      <c r="G119" s="784"/>
    </row>
    <row r="120" spans="1:7" x14ac:dyDescent="0.25">
      <c r="A120" s="784"/>
      <c r="B120" s="782"/>
      <c r="C120" s="782"/>
      <c r="D120" s="782"/>
      <c r="E120" s="784"/>
      <c r="F120" s="784"/>
      <c r="G120" s="784"/>
    </row>
    <row r="121" spans="1:7" x14ac:dyDescent="0.25">
      <c r="A121" s="784"/>
      <c r="B121" s="782"/>
      <c r="C121" s="782"/>
      <c r="D121" s="782"/>
      <c r="E121" s="784"/>
      <c r="F121" s="784"/>
      <c r="G121" s="784"/>
    </row>
    <row r="122" spans="1:7" x14ac:dyDescent="0.25">
      <c r="A122" s="784"/>
      <c r="B122" s="782"/>
      <c r="C122" s="782"/>
      <c r="D122" s="782"/>
      <c r="E122" s="784"/>
      <c r="F122" s="784"/>
      <c r="G122" s="784"/>
    </row>
    <row r="123" spans="1:7" x14ac:dyDescent="0.25">
      <c r="A123" s="784"/>
      <c r="B123" s="782"/>
      <c r="C123" s="782"/>
      <c r="D123" s="782"/>
      <c r="E123" s="784"/>
      <c r="F123" s="784"/>
      <c r="G123" s="784"/>
    </row>
    <row r="124" spans="1:7" x14ac:dyDescent="0.25">
      <c r="A124" s="784"/>
      <c r="B124" s="782"/>
      <c r="C124" s="782"/>
      <c r="D124" s="782"/>
      <c r="E124" s="784"/>
      <c r="F124" s="784"/>
      <c r="G124" s="784"/>
    </row>
    <row r="125" spans="1:7" x14ac:dyDescent="0.25">
      <c r="A125" s="784"/>
      <c r="B125" s="782"/>
      <c r="C125" s="782"/>
      <c r="D125" s="782"/>
      <c r="E125" s="784"/>
      <c r="F125" s="784"/>
      <c r="G125" s="784"/>
    </row>
    <row r="126" spans="1:7" x14ac:dyDescent="0.25">
      <c r="A126" s="784"/>
      <c r="B126" s="782"/>
      <c r="C126" s="782"/>
      <c r="D126" s="782"/>
      <c r="E126" s="784"/>
      <c r="F126" s="784"/>
      <c r="G126" s="784"/>
    </row>
    <row r="127" spans="1:7" x14ac:dyDescent="0.25">
      <c r="A127" s="784"/>
      <c r="B127" s="782"/>
      <c r="C127" s="782"/>
      <c r="D127" s="782"/>
      <c r="E127" s="784"/>
      <c r="F127" s="784"/>
      <c r="G127" s="784"/>
    </row>
    <row r="128" spans="1:7" x14ac:dyDescent="0.25">
      <c r="A128" s="784"/>
      <c r="B128" s="782"/>
      <c r="C128" s="782"/>
      <c r="D128" s="782"/>
      <c r="E128" s="784"/>
      <c r="F128" s="784"/>
      <c r="G128" s="784"/>
    </row>
    <row r="129" spans="1:7" x14ac:dyDescent="0.25">
      <c r="A129" s="784"/>
      <c r="B129" s="782"/>
      <c r="C129" s="782"/>
      <c r="D129" s="782"/>
      <c r="E129" s="784"/>
      <c r="F129" s="784"/>
      <c r="G129" s="784"/>
    </row>
    <row r="130" spans="1:7" x14ac:dyDescent="0.25">
      <c r="A130" s="784"/>
      <c r="B130" s="782"/>
      <c r="C130" s="782"/>
      <c r="D130" s="782"/>
      <c r="E130" s="784"/>
      <c r="F130" s="784"/>
      <c r="G130" s="784"/>
    </row>
    <row r="131" spans="1:7" x14ac:dyDescent="0.25">
      <c r="A131" s="784"/>
      <c r="B131" s="782"/>
      <c r="C131" s="782"/>
      <c r="D131" s="782"/>
      <c r="E131" s="784"/>
      <c r="F131" s="784"/>
      <c r="G131" s="784"/>
    </row>
    <row r="132" spans="1:7" x14ac:dyDescent="0.25">
      <c r="A132" s="784"/>
      <c r="B132" s="782"/>
      <c r="C132" s="782"/>
      <c r="D132" s="782"/>
      <c r="E132" s="784"/>
      <c r="F132" s="784"/>
      <c r="G132" s="784"/>
    </row>
    <row r="133" spans="1:7" x14ac:dyDescent="0.25">
      <c r="A133" s="784"/>
      <c r="B133" s="782"/>
      <c r="C133" s="782"/>
      <c r="D133" s="782"/>
      <c r="E133" s="784"/>
      <c r="F133" s="784"/>
      <c r="G133" s="784"/>
    </row>
    <row r="134" spans="1:7" x14ac:dyDescent="0.25">
      <c r="A134" s="784"/>
      <c r="B134" s="782"/>
      <c r="C134" s="782"/>
      <c r="D134" s="782"/>
      <c r="E134" s="784"/>
      <c r="F134" s="784"/>
      <c r="G134" s="784"/>
    </row>
    <row r="135" spans="1:7" x14ac:dyDescent="0.25">
      <c r="A135" s="784"/>
      <c r="B135" s="782"/>
      <c r="C135" s="782"/>
      <c r="D135" s="782"/>
      <c r="E135" s="784"/>
      <c r="F135" s="784"/>
      <c r="G135" s="784"/>
    </row>
    <row r="136" spans="1:7" x14ac:dyDescent="0.25">
      <c r="A136" s="784"/>
      <c r="B136" s="782"/>
      <c r="C136" s="782"/>
      <c r="D136" s="782"/>
      <c r="E136" s="784"/>
      <c r="F136" s="784"/>
      <c r="G136" s="784"/>
    </row>
    <row r="137" spans="1:7" x14ac:dyDescent="0.25">
      <c r="A137" s="784"/>
      <c r="B137" s="782"/>
      <c r="C137" s="782"/>
      <c r="D137" s="782"/>
      <c r="E137" s="784"/>
      <c r="F137" s="784"/>
      <c r="G137" s="784"/>
    </row>
    <row r="138" spans="1:7" x14ac:dyDescent="0.25">
      <c r="A138" s="784"/>
      <c r="B138" s="782"/>
      <c r="C138" s="782"/>
      <c r="D138" s="782"/>
      <c r="E138" s="784"/>
      <c r="F138" s="784"/>
      <c r="G138" s="784"/>
    </row>
    <row r="139" spans="1:7" x14ac:dyDescent="0.25">
      <c r="A139" s="784"/>
      <c r="B139" s="782"/>
      <c r="C139" s="782"/>
      <c r="D139" s="782"/>
      <c r="E139" s="784"/>
      <c r="F139" s="784"/>
      <c r="G139" s="784"/>
    </row>
    <row r="140" spans="1:7" x14ac:dyDescent="0.25">
      <c r="A140" s="784"/>
      <c r="B140" s="782"/>
      <c r="C140" s="782"/>
      <c r="D140" s="782"/>
      <c r="E140" s="784"/>
      <c r="F140" s="784"/>
      <c r="G140" s="784"/>
    </row>
    <row r="141" spans="1:7" x14ac:dyDescent="0.25">
      <c r="A141" s="784"/>
      <c r="B141" s="782"/>
      <c r="C141" s="782"/>
      <c r="D141" s="782"/>
      <c r="E141" s="784"/>
      <c r="F141" s="784"/>
      <c r="G141" s="784"/>
    </row>
    <row r="142" spans="1:7" x14ac:dyDescent="0.25">
      <c r="A142" s="784"/>
      <c r="B142" s="782"/>
      <c r="C142" s="782"/>
      <c r="D142" s="782"/>
      <c r="E142" s="784"/>
      <c r="F142" s="784"/>
      <c r="G142" s="784"/>
    </row>
    <row r="143" spans="1:7" x14ac:dyDescent="0.25">
      <c r="A143" s="784"/>
      <c r="B143" s="782"/>
      <c r="C143" s="782"/>
      <c r="D143" s="782"/>
      <c r="E143" s="784"/>
      <c r="F143" s="784"/>
      <c r="G143" s="784"/>
    </row>
    <row r="144" spans="1:7" x14ac:dyDescent="0.25">
      <c r="A144" s="784"/>
      <c r="B144" s="782"/>
      <c r="C144" s="782"/>
      <c r="D144" s="782"/>
      <c r="E144" s="784"/>
      <c r="F144" s="784"/>
      <c r="G144" s="784"/>
    </row>
    <row r="145" spans="1:7" x14ac:dyDescent="0.25">
      <c r="A145" s="784"/>
      <c r="B145" s="782"/>
      <c r="C145" s="782"/>
      <c r="D145" s="782"/>
      <c r="E145" s="784"/>
      <c r="F145" s="784"/>
      <c r="G145" s="784"/>
    </row>
    <row r="146" spans="1:7" x14ac:dyDescent="0.25">
      <c r="A146" s="784"/>
      <c r="B146" s="782"/>
      <c r="C146" s="782"/>
      <c r="D146" s="782"/>
      <c r="E146" s="784"/>
      <c r="F146" s="784"/>
      <c r="G146" s="784"/>
    </row>
    <row r="147" spans="1:7" x14ac:dyDescent="0.25">
      <c r="A147" s="784"/>
      <c r="B147" s="782"/>
      <c r="C147" s="782"/>
      <c r="D147" s="782"/>
      <c r="E147" s="784"/>
      <c r="F147" s="784"/>
      <c r="G147" s="784"/>
    </row>
    <row r="148" spans="1:7" x14ac:dyDescent="0.25">
      <c r="A148" s="784"/>
      <c r="B148" s="782"/>
      <c r="C148" s="782"/>
      <c r="D148" s="782"/>
      <c r="E148" s="784"/>
      <c r="F148" s="784"/>
      <c r="G148" s="784"/>
    </row>
    <row r="149" spans="1:7" x14ac:dyDescent="0.25">
      <c r="A149" s="784"/>
      <c r="B149" s="782"/>
      <c r="C149" s="782"/>
      <c r="D149" s="782"/>
      <c r="E149" s="784"/>
      <c r="F149" s="784"/>
      <c r="G149" s="784"/>
    </row>
    <row r="150" spans="1:7" x14ac:dyDescent="0.25">
      <c r="A150" s="784"/>
      <c r="B150" s="782"/>
      <c r="C150" s="782"/>
      <c r="D150" s="782"/>
      <c r="E150" s="784"/>
      <c r="F150" s="784"/>
      <c r="G150" s="784"/>
    </row>
    <row r="151" spans="1:7" x14ac:dyDescent="0.25">
      <c r="A151" s="784"/>
      <c r="B151" s="782"/>
      <c r="C151" s="782"/>
      <c r="D151" s="782"/>
      <c r="E151" s="784"/>
      <c r="F151" s="784"/>
      <c r="G151" s="784"/>
    </row>
    <row r="152" spans="1:7" x14ac:dyDescent="0.25">
      <c r="A152" s="784"/>
      <c r="B152" s="782"/>
      <c r="C152" s="782"/>
      <c r="D152" s="782"/>
      <c r="E152" s="784"/>
      <c r="F152" s="784"/>
      <c r="G152" s="784"/>
    </row>
    <row r="153" spans="1:7" x14ac:dyDescent="0.25">
      <c r="A153" s="784"/>
      <c r="B153" s="782"/>
      <c r="C153" s="782"/>
      <c r="D153" s="782"/>
      <c r="E153" s="784"/>
      <c r="F153" s="784"/>
      <c r="G153" s="784"/>
    </row>
    <row r="154" spans="1:7" x14ac:dyDescent="0.25">
      <c r="A154" s="784"/>
      <c r="B154" s="782"/>
      <c r="C154" s="782"/>
      <c r="D154" s="782"/>
      <c r="E154" s="784"/>
      <c r="F154" s="784"/>
      <c r="G154" s="784"/>
    </row>
    <row r="155" spans="1:7" x14ac:dyDescent="0.25">
      <c r="A155" s="784"/>
      <c r="B155" s="782"/>
      <c r="C155" s="782"/>
      <c r="D155" s="782"/>
      <c r="E155" s="784"/>
      <c r="F155" s="784"/>
      <c r="G155" s="784"/>
    </row>
    <row r="156" spans="1:7" x14ac:dyDescent="0.25">
      <c r="A156" s="784"/>
      <c r="B156" s="782"/>
      <c r="C156" s="782"/>
      <c r="D156" s="782"/>
      <c r="E156" s="784"/>
      <c r="F156" s="784"/>
      <c r="G156" s="784"/>
    </row>
    <row r="157" spans="1:7" x14ac:dyDescent="0.25">
      <c r="A157" s="784"/>
      <c r="B157" s="782"/>
      <c r="C157" s="782"/>
      <c r="D157" s="782"/>
      <c r="E157" s="784"/>
      <c r="F157" s="784"/>
      <c r="G157" s="784"/>
    </row>
    <row r="158" spans="1:7" x14ac:dyDescent="0.25">
      <c r="A158" s="784"/>
      <c r="B158" s="782"/>
      <c r="C158" s="782"/>
      <c r="D158" s="782"/>
      <c r="E158" s="784"/>
      <c r="F158" s="784"/>
      <c r="G158" s="784"/>
    </row>
    <row r="159" spans="1:7" x14ac:dyDescent="0.25">
      <c r="A159" s="784"/>
      <c r="B159" s="782"/>
      <c r="C159" s="782"/>
      <c r="D159" s="782"/>
      <c r="E159" s="784"/>
      <c r="F159" s="784"/>
      <c r="G159" s="784"/>
    </row>
    <row r="160" spans="1:7" x14ac:dyDescent="0.25">
      <c r="A160" s="784"/>
      <c r="B160" s="782"/>
      <c r="C160" s="782"/>
      <c r="D160" s="782"/>
      <c r="E160" s="784"/>
      <c r="F160" s="784"/>
      <c r="G160" s="784"/>
    </row>
    <row r="161" spans="1:7" x14ac:dyDescent="0.25">
      <c r="A161" s="784"/>
      <c r="B161" s="782"/>
      <c r="C161" s="782"/>
      <c r="D161" s="782"/>
      <c r="E161" s="784"/>
      <c r="F161" s="784"/>
      <c r="G161" s="784"/>
    </row>
    <row r="162" spans="1:7" x14ac:dyDescent="0.25">
      <c r="A162" s="784"/>
      <c r="B162" s="782"/>
      <c r="C162" s="782"/>
      <c r="D162" s="782"/>
      <c r="E162" s="784"/>
      <c r="F162" s="784"/>
      <c r="G162" s="784"/>
    </row>
    <row r="163" spans="1:7" x14ac:dyDescent="0.25">
      <c r="A163" s="784"/>
      <c r="B163" s="782"/>
      <c r="C163" s="782"/>
      <c r="D163" s="782"/>
      <c r="E163" s="784"/>
      <c r="F163" s="784"/>
      <c r="G163" s="784"/>
    </row>
    <row r="164" spans="1:7" x14ac:dyDescent="0.25">
      <c r="A164" s="784"/>
      <c r="B164" s="782"/>
      <c r="C164" s="782"/>
      <c r="D164" s="782"/>
      <c r="E164" s="784"/>
      <c r="F164" s="784"/>
      <c r="G164" s="784"/>
    </row>
    <row r="165" spans="1:7" x14ac:dyDescent="0.25">
      <c r="A165" s="784"/>
      <c r="B165" s="782"/>
      <c r="C165" s="782"/>
      <c r="D165" s="782"/>
      <c r="E165" s="784"/>
      <c r="F165" s="784"/>
      <c r="G165" s="784"/>
    </row>
    <row r="166" spans="1:7" x14ac:dyDescent="0.25">
      <c r="A166" s="784"/>
      <c r="B166" s="782"/>
      <c r="C166" s="782"/>
      <c r="D166" s="782"/>
      <c r="E166" s="784"/>
      <c r="F166" s="784"/>
      <c r="G166" s="784"/>
    </row>
    <row r="167" spans="1:7" x14ac:dyDescent="0.25">
      <c r="A167" s="784"/>
      <c r="B167" s="782"/>
      <c r="C167" s="782"/>
      <c r="D167" s="782"/>
      <c r="E167" s="784"/>
      <c r="F167" s="784"/>
      <c r="G167" s="784"/>
    </row>
    <row r="168" spans="1:7" x14ac:dyDescent="0.25">
      <c r="A168" s="784"/>
      <c r="B168" s="782"/>
      <c r="C168" s="782"/>
      <c r="D168" s="782"/>
      <c r="E168" s="784"/>
      <c r="F168" s="784"/>
      <c r="G168" s="784"/>
    </row>
    <row r="169" spans="1:7" x14ac:dyDescent="0.25">
      <c r="A169" s="784"/>
      <c r="B169" s="782"/>
      <c r="C169" s="782"/>
      <c r="D169" s="782"/>
      <c r="E169" s="784"/>
      <c r="F169" s="784"/>
      <c r="G169" s="784"/>
    </row>
    <row r="170" spans="1:7" x14ac:dyDescent="0.25">
      <c r="A170" s="784"/>
      <c r="B170" s="782"/>
      <c r="C170" s="782"/>
      <c r="D170" s="782"/>
      <c r="E170" s="784"/>
      <c r="F170" s="784"/>
      <c r="G170" s="784"/>
    </row>
    <row r="171" spans="1:7" x14ac:dyDescent="0.25">
      <c r="A171" s="784"/>
      <c r="B171" s="782"/>
      <c r="C171" s="782"/>
      <c r="D171" s="782"/>
      <c r="E171" s="784"/>
      <c r="F171" s="784"/>
      <c r="G171" s="784"/>
    </row>
    <row r="172" spans="1:7" x14ac:dyDescent="0.25">
      <c r="A172" s="784"/>
      <c r="B172" s="782"/>
      <c r="C172" s="782"/>
      <c r="D172" s="782"/>
      <c r="E172" s="784"/>
      <c r="F172" s="784"/>
      <c r="G172" s="784"/>
    </row>
    <row r="173" spans="1:7" x14ac:dyDescent="0.25">
      <c r="A173" s="784"/>
      <c r="B173" s="782"/>
      <c r="C173" s="782"/>
      <c r="D173" s="782"/>
      <c r="E173" s="784"/>
      <c r="F173" s="784"/>
      <c r="G173" s="784"/>
    </row>
    <row r="174" spans="1:7" x14ac:dyDescent="0.25">
      <c r="A174" s="784"/>
      <c r="B174" s="782"/>
      <c r="C174" s="782"/>
      <c r="D174" s="782"/>
      <c r="E174" s="784"/>
      <c r="F174" s="784"/>
      <c r="G174" s="784"/>
    </row>
    <row r="175" spans="1:7" x14ac:dyDescent="0.25">
      <c r="A175" s="784"/>
      <c r="B175" s="782"/>
      <c r="C175" s="782"/>
      <c r="D175" s="782"/>
      <c r="E175" s="784"/>
      <c r="F175" s="784"/>
      <c r="G175" s="784"/>
    </row>
    <row r="176" spans="1:7" x14ac:dyDescent="0.25">
      <c r="A176" s="784"/>
      <c r="B176" s="782"/>
      <c r="C176" s="782"/>
      <c r="D176" s="782"/>
      <c r="E176" s="784"/>
      <c r="F176" s="784"/>
      <c r="G176" s="784"/>
    </row>
    <row r="177" spans="1:7" x14ac:dyDescent="0.25">
      <c r="A177" s="784"/>
      <c r="B177" s="782"/>
      <c r="C177" s="782"/>
      <c r="D177" s="782"/>
      <c r="E177" s="784"/>
      <c r="F177" s="784"/>
      <c r="G177" s="784"/>
    </row>
    <row r="178" spans="1:7" x14ac:dyDescent="0.25">
      <c r="A178" s="784"/>
      <c r="B178" s="782"/>
      <c r="C178" s="782"/>
      <c r="D178" s="782"/>
      <c r="E178" s="784"/>
      <c r="F178" s="784"/>
      <c r="G178" s="784"/>
    </row>
    <row r="179" spans="1:7" x14ac:dyDescent="0.25">
      <c r="A179" s="784"/>
      <c r="B179" s="782"/>
      <c r="C179" s="782"/>
      <c r="D179" s="782"/>
      <c r="E179" s="784"/>
      <c r="F179" s="784"/>
      <c r="G179" s="784"/>
    </row>
    <row r="180" spans="1:7" x14ac:dyDescent="0.25">
      <c r="A180" s="784"/>
      <c r="B180" s="782"/>
      <c r="C180" s="782"/>
      <c r="D180" s="782"/>
      <c r="E180" s="784"/>
      <c r="F180" s="784"/>
      <c r="G180" s="784"/>
    </row>
    <row r="181" spans="1:7" x14ac:dyDescent="0.25">
      <c r="A181" s="784"/>
      <c r="B181" s="782"/>
      <c r="C181" s="782"/>
      <c r="D181" s="782"/>
      <c r="E181" s="784"/>
      <c r="F181" s="784"/>
      <c r="G181" s="784"/>
    </row>
    <row r="182" spans="1:7" x14ac:dyDescent="0.25">
      <c r="A182" s="784"/>
      <c r="B182" s="782"/>
      <c r="C182" s="782"/>
      <c r="D182" s="782"/>
      <c r="E182" s="784"/>
      <c r="F182" s="784"/>
      <c r="G182" s="784"/>
    </row>
    <row r="183" spans="1:7" x14ac:dyDescent="0.25">
      <c r="A183" s="784"/>
      <c r="B183" s="782"/>
      <c r="C183" s="782"/>
      <c r="D183" s="782"/>
      <c r="E183" s="784"/>
      <c r="F183" s="784"/>
      <c r="G183" s="784"/>
    </row>
    <row r="184" spans="1:7" x14ac:dyDescent="0.25">
      <c r="A184" s="784"/>
      <c r="B184" s="782"/>
      <c r="C184" s="782"/>
      <c r="D184" s="782"/>
      <c r="E184" s="784"/>
      <c r="F184" s="784"/>
      <c r="G184" s="784"/>
    </row>
    <row r="185" spans="1:7" x14ac:dyDescent="0.25">
      <c r="A185" s="784"/>
      <c r="B185" s="782"/>
      <c r="C185" s="782"/>
      <c r="D185" s="782"/>
      <c r="E185" s="784"/>
      <c r="F185" s="784"/>
      <c r="G185" s="784"/>
    </row>
    <row r="186" spans="1:7" x14ac:dyDescent="0.25">
      <c r="A186" s="784"/>
      <c r="B186" s="782"/>
      <c r="C186" s="782"/>
      <c r="D186" s="782"/>
      <c r="E186" s="784"/>
      <c r="F186" s="784"/>
      <c r="G186" s="784"/>
    </row>
    <row r="187" spans="1:7" x14ac:dyDescent="0.25">
      <c r="A187" s="784"/>
      <c r="B187" s="782"/>
      <c r="C187" s="782"/>
      <c r="D187" s="782"/>
      <c r="E187" s="784"/>
      <c r="F187" s="784"/>
      <c r="G187" s="784"/>
    </row>
    <row r="188" spans="1:7" x14ac:dyDescent="0.25">
      <c r="A188" s="784"/>
      <c r="B188" s="782"/>
      <c r="C188" s="782"/>
      <c r="D188" s="782"/>
      <c r="E188" s="784"/>
      <c r="F188" s="784"/>
      <c r="G188" s="784"/>
    </row>
    <row r="189" spans="1:7" x14ac:dyDescent="0.25">
      <c r="A189" s="784"/>
      <c r="B189" s="782"/>
      <c r="C189" s="782"/>
      <c r="D189" s="782"/>
      <c r="E189" s="784"/>
      <c r="F189" s="784"/>
      <c r="G189" s="784"/>
    </row>
    <row r="190" spans="1:7" x14ac:dyDescent="0.25">
      <c r="A190" s="784"/>
      <c r="B190" s="782"/>
      <c r="C190" s="782"/>
      <c r="D190" s="782"/>
      <c r="E190" s="784"/>
      <c r="F190" s="784"/>
      <c r="G190" s="784"/>
    </row>
    <row r="191" spans="1:7" x14ac:dyDescent="0.25">
      <c r="A191" s="784"/>
      <c r="B191" s="782"/>
      <c r="C191" s="782"/>
      <c r="D191" s="782"/>
      <c r="E191" s="784"/>
      <c r="F191" s="784"/>
      <c r="G191" s="784"/>
    </row>
    <row r="192" spans="1:7" x14ac:dyDescent="0.25">
      <c r="A192" s="784"/>
      <c r="B192" s="782"/>
      <c r="C192" s="782"/>
      <c r="D192" s="782"/>
      <c r="E192" s="784"/>
      <c r="F192" s="784"/>
      <c r="G192" s="784"/>
    </row>
    <row r="193" spans="1:7" x14ac:dyDescent="0.25">
      <c r="A193" s="784"/>
      <c r="B193" s="782"/>
      <c r="C193" s="782"/>
      <c r="D193" s="782"/>
      <c r="E193" s="784"/>
      <c r="F193" s="784"/>
      <c r="G193" s="784"/>
    </row>
    <row r="194" spans="1:7" x14ac:dyDescent="0.25">
      <c r="A194" s="784"/>
      <c r="B194" s="782"/>
      <c r="C194" s="782"/>
      <c r="D194" s="782"/>
      <c r="E194" s="784"/>
      <c r="F194" s="784"/>
      <c r="G194" s="784"/>
    </row>
    <row r="195" spans="1:7" x14ac:dyDescent="0.25">
      <c r="A195" s="784"/>
      <c r="B195" s="782"/>
      <c r="C195" s="782"/>
      <c r="D195" s="782"/>
      <c r="E195" s="784"/>
      <c r="F195" s="784"/>
      <c r="G195" s="784"/>
    </row>
    <row r="196" spans="1:7" x14ac:dyDescent="0.25">
      <c r="A196" s="784"/>
      <c r="B196" s="782"/>
      <c r="C196" s="782"/>
      <c r="D196" s="782"/>
      <c r="E196" s="784"/>
      <c r="F196" s="784"/>
      <c r="G196" s="784"/>
    </row>
    <row r="197" spans="1:7" x14ac:dyDescent="0.25">
      <c r="A197" s="784"/>
      <c r="B197" s="782"/>
      <c r="C197" s="782"/>
      <c r="D197" s="782"/>
      <c r="E197" s="784"/>
      <c r="F197" s="784"/>
      <c r="G197" s="784"/>
    </row>
    <row r="198" spans="1:7" x14ac:dyDescent="0.25">
      <c r="A198" s="784"/>
      <c r="B198" s="782"/>
      <c r="C198" s="782"/>
      <c r="D198" s="782"/>
      <c r="E198" s="784"/>
      <c r="F198" s="784"/>
      <c r="G198" s="784"/>
    </row>
    <row r="199" spans="1:7" x14ac:dyDescent="0.25">
      <c r="A199" s="784"/>
      <c r="B199" s="782"/>
      <c r="C199" s="782"/>
      <c r="D199" s="782"/>
      <c r="E199" s="784"/>
      <c r="F199" s="784"/>
      <c r="G199" s="784"/>
    </row>
    <row r="200" spans="1:7" x14ac:dyDescent="0.25">
      <c r="A200" s="784"/>
      <c r="B200" s="782"/>
      <c r="C200" s="782"/>
      <c r="D200" s="782"/>
      <c r="E200" s="784"/>
      <c r="F200" s="784"/>
      <c r="G200" s="784"/>
    </row>
    <row r="201" spans="1:7" x14ac:dyDescent="0.25">
      <c r="A201" s="784"/>
      <c r="B201" s="782"/>
      <c r="C201" s="782"/>
      <c r="D201" s="782"/>
      <c r="E201" s="784"/>
      <c r="F201" s="784"/>
      <c r="G201" s="784"/>
    </row>
    <row r="202" spans="1:7" x14ac:dyDescent="0.25">
      <c r="A202" s="784"/>
      <c r="B202" s="782"/>
      <c r="C202" s="782"/>
      <c r="D202" s="782"/>
      <c r="E202" s="784"/>
      <c r="F202" s="784"/>
      <c r="G202" s="784"/>
    </row>
    <row r="203" spans="1:7" x14ac:dyDescent="0.25">
      <c r="A203" s="784"/>
      <c r="B203" s="782"/>
      <c r="C203" s="782"/>
      <c r="D203" s="782"/>
      <c r="E203" s="784"/>
      <c r="F203" s="784"/>
      <c r="G203" s="784"/>
    </row>
    <row r="204" spans="1:7" x14ac:dyDescent="0.25">
      <c r="A204" s="784"/>
      <c r="B204" s="782"/>
      <c r="C204" s="782"/>
      <c r="D204" s="782"/>
      <c r="E204" s="784"/>
      <c r="F204" s="784"/>
      <c r="G204" s="784"/>
    </row>
    <row r="205" spans="1:7" x14ac:dyDescent="0.25">
      <c r="A205" s="784"/>
      <c r="B205" s="782"/>
      <c r="C205" s="782"/>
      <c r="D205" s="782"/>
      <c r="E205" s="784"/>
      <c r="F205" s="784"/>
      <c r="G205" s="784"/>
    </row>
    <row r="206" spans="1:7" x14ac:dyDescent="0.25">
      <c r="A206" s="784"/>
      <c r="B206" s="782"/>
      <c r="C206" s="782"/>
      <c r="D206" s="782"/>
      <c r="E206" s="784"/>
      <c r="F206" s="784"/>
      <c r="G206" s="784"/>
    </row>
    <row r="207" spans="1:7" x14ac:dyDescent="0.25">
      <c r="A207" s="784"/>
      <c r="B207" s="782"/>
      <c r="C207" s="782"/>
      <c r="D207" s="782"/>
      <c r="E207" s="784"/>
      <c r="F207" s="784"/>
      <c r="G207" s="784"/>
    </row>
    <row r="208" spans="1:7" x14ac:dyDescent="0.25">
      <c r="A208" s="784"/>
      <c r="B208" s="782"/>
      <c r="C208" s="782"/>
      <c r="D208" s="782"/>
      <c r="E208" s="784"/>
      <c r="F208" s="784"/>
      <c r="G208" s="784"/>
    </row>
    <row r="209" spans="1:7" x14ac:dyDescent="0.25">
      <c r="A209" s="784"/>
      <c r="B209" s="782"/>
      <c r="C209" s="782"/>
      <c r="D209" s="782"/>
      <c r="E209" s="784"/>
      <c r="F209" s="784"/>
      <c r="G209" s="784"/>
    </row>
    <row r="210" spans="1:7" x14ac:dyDescent="0.25">
      <c r="A210" s="784"/>
      <c r="B210" s="782"/>
      <c r="C210" s="782"/>
      <c r="D210" s="782"/>
      <c r="E210" s="784"/>
      <c r="F210" s="784"/>
      <c r="G210" s="784"/>
    </row>
    <row r="211" spans="1:7" x14ac:dyDescent="0.25">
      <c r="A211" s="784"/>
      <c r="B211" s="782"/>
      <c r="C211" s="782"/>
      <c r="D211" s="782"/>
      <c r="E211" s="784"/>
      <c r="F211" s="784"/>
      <c r="G211" s="784"/>
    </row>
    <row r="212" spans="1:7" x14ac:dyDescent="0.25">
      <c r="A212" s="784"/>
      <c r="B212" s="782"/>
      <c r="C212" s="782"/>
      <c r="D212" s="782"/>
      <c r="E212" s="784"/>
      <c r="F212" s="784"/>
      <c r="G212" s="784"/>
    </row>
    <row r="213" spans="1:7" x14ac:dyDescent="0.25">
      <c r="A213" s="784"/>
      <c r="B213" s="782"/>
      <c r="C213" s="782"/>
      <c r="D213" s="782"/>
      <c r="E213" s="784"/>
      <c r="F213" s="784"/>
      <c r="G213" s="784"/>
    </row>
    <row r="214" spans="1:7" x14ac:dyDescent="0.25">
      <c r="A214" s="784"/>
      <c r="B214" s="782"/>
      <c r="C214" s="782"/>
      <c r="D214" s="782"/>
      <c r="E214" s="784"/>
      <c r="F214" s="784"/>
      <c r="G214" s="784"/>
    </row>
    <row r="215" spans="1:7" x14ac:dyDescent="0.25">
      <c r="A215" s="784"/>
      <c r="B215" s="782"/>
      <c r="C215" s="782"/>
      <c r="D215" s="782"/>
      <c r="E215" s="784"/>
      <c r="F215" s="784"/>
      <c r="G215" s="784"/>
    </row>
    <row r="216" spans="1:7" x14ac:dyDescent="0.25">
      <c r="A216" s="784"/>
      <c r="B216" s="782"/>
      <c r="C216" s="782"/>
      <c r="D216" s="782"/>
      <c r="E216" s="784"/>
      <c r="F216" s="784"/>
      <c r="G216" s="784"/>
    </row>
    <row r="217" spans="1:7" x14ac:dyDescent="0.25">
      <c r="A217" s="784"/>
      <c r="B217" s="782"/>
      <c r="C217" s="782"/>
      <c r="D217" s="782"/>
      <c r="E217" s="784"/>
      <c r="F217" s="784"/>
      <c r="G217" s="784"/>
    </row>
    <row r="218" spans="1:7" x14ac:dyDescent="0.25">
      <c r="A218" s="784"/>
      <c r="B218" s="782"/>
      <c r="C218" s="782"/>
      <c r="D218" s="782"/>
      <c r="E218" s="784"/>
      <c r="F218" s="784"/>
      <c r="G218" s="784"/>
    </row>
    <row r="219" spans="1:7" x14ac:dyDescent="0.25">
      <c r="A219" s="784"/>
      <c r="B219" s="782"/>
      <c r="C219" s="782"/>
      <c r="D219" s="782"/>
      <c r="E219" s="784"/>
      <c r="F219" s="784"/>
      <c r="G219" s="784"/>
    </row>
    <row r="220" spans="1:7" x14ac:dyDescent="0.25">
      <c r="A220" s="784"/>
      <c r="B220" s="782"/>
      <c r="C220" s="782"/>
      <c r="D220" s="782"/>
      <c r="E220" s="784"/>
      <c r="F220" s="784"/>
      <c r="G220" s="784"/>
    </row>
    <row r="221" spans="1:7" x14ac:dyDescent="0.25">
      <c r="A221" s="784"/>
      <c r="B221" s="782"/>
      <c r="C221" s="782"/>
      <c r="D221" s="782"/>
      <c r="E221" s="784"/>
      <c r="F221" s="784"/>
      <c r="G221" s="784"/>
    </row>
    <row r="222" spans="1:7" x14ac:dyDescent="0.25">
      <c r="A222" s="784"/>
      <c r="B222" s="782"/>
      <c r="C222" s="782"/>
      <c r="D222" s="782"/>
      <c r="E222" s="784"/>
      <c r="F222" s="784"/>
      <c r="G222" s="784"/>
    </row>
    <row r="223" spans="1:7" x14ac:dyDescent="0.25">
      <c r="A223" s="784"/>
      <c r="B223" s="782"/>
      <c r="C223" s="782"/>
      <c r="D223" s="782"/>
      <c r="E223" s="784"/>
      <c r="F223" s="784"/>
      <c r="G223" s="784"/>
    </row>
    <row r="224" spans="1:7" x14ac:dyDescent="0.25">
      <c r="A224" s="784"/>
      <c r="B224" s="782"/>
      <c r="C224" s="782"/>
      <c r="D224" s="782"/>
      <c r="E224" s="784"/>
      <c r="F224" s="784"/>
      <c r="G224" s="784"/>
    </row>
    <row r="225" spans="1:7" x14ac:dyDescent="0.25">
      <c r="A225" s="784"/>
      <c r="B225" s="782"/>
      <c r="C225" s="782"/>
      <c r="D225" s="782"/>
      <c r="E225" s="784"/>
      <c r="F225" s="784"/>
      <c r="G225" s="784"/>
    </row>
    <row r="226" spans="1:7" x14ac:dyDescent="0.25">
      <c r="A226" s="784"/>
      <c r="B226" s="782"/>
      <c r="C226" s="782"/>
      <c r="D226" s="782"/>
      <c r="E226" s="784"/>
      <c r="F226" s="784"/>
      <c r="G226" s="784"/>
    </row>
    <row r="227" spans="1:7" x14ac:dyDescent="0.25">
      <c r="A227" s="784"/>
      <c r="B227" s="782"/>
      <c r="C227" s="782"/>
      <c r="D227" s="782"/>
      <c r="E227" s="784"/>
      <c r="F227" s="784"/>
      <c r="G227" s="784"/>
    </row>
    <row r="228" spans="1:7" x14ac:dyDescent="0.25">
      <c r="A228" s="784"/>
      <c r="B228" s="782"/>
      <c r="C228" s="782"/>
      <c r="D228" s="782"/>
      <c r="E228" s="784"/>
      <c r="F228" s="784"/>
      <c r="G228" s="784"/>
    </row>
    <row r="229" spans="1:7" x14ac:dyDescent="0.25">
      <c r="A229" s="784"/>
      <c r="B229" s="782"/>
      <c r="C229" s="782"/>
      <c r="D229" s="782"/>
      <c r="E229" s="784"/>
      <c r="F229" s="784"/>
      <c r="G229" s="784"/>
    </row>
    <row r="230" spans="1:7" x14ac:dyDescent="0.25">
      <c r="A230" s="784"/>
      <c r="B230" s="782"/>
      <c r="C230" s="782"/>
      <c r="D230" s="782"/>
      <c r="E230" s="784"/>
      <c r="F230" s="784"/>
      <c r="G230" s="784"/>
    </row>
    <row r="231" spans="1:7" x14ac:dyDescent="0.25">
      <c r="A231" s="784"/>
      <c r="B231" s="782"/>
      <c r="C231" s="782"/>
      <c r="D231" s="782"/>
      <c r="E231" s="784"/>
      <c r="F231" s="784"/>
      <c r="G231" s="784"/>
    </row>
    <row r="232" spans="1:7" x14ac:dyDescent="0.25">
      <c r="A232" s="784"/>
      <c r="B232" s="782"/>
      <c r="C232" s="782"/>
      <c r="D232" s="782"/>
      <c r="E232" s="784"/>
      <c r="F232" s="784"/>
      <c r="G232" s="784"/>
    </row>
    <row r="233" spans="1:7" x14ac:dyDescent="0.25">
      <c r="A233" s="784"/>
      <c r="B233" s="782"/>
      <c r="C233" s="782"/>
      <c r="D233" s="782"/>
      <c r="E233" s="784"/>
      <c r="F233" s="784"/>
      <c r="G233" s="784"/>
    </row>
    <row r="234" spans="1:7" x14ac:dyDescent="0.25">
      <c r="A234" s="784"/>
      <c r="B234" s="782"/>
      <c r="C234" s="782"/>
      <c r="D234" s="782"/>
      <c r="E234" s="784"/>
      <c r="F234" s="784"/>
      <c r="G234" s="784"/>
    </row>
    <row r="235" spans="1:7" x14ac:dyDescent="0.25">
      <c r="A235" s="784"/>
      <c r="B235" s="782"/>
      <c r="C235" s="782"/>
      <c r="D235" s="782"/>
      <c r="E235" s="784"/>
      <c r="F235" s="784"/>
      <c r="G235" s="784"/>
    </row>
    <row r="236" spans="1:7" x14ac:dyDescent="0.25">
      <c r="A236" s="784"/>
      <c r="B236" s="782"/>
      <c r="C236" s="782"/>
      <c r="D236" s="782"/>
      <c r="E236" s="784"/>
      <c r="F236" s="784"/>
      <c r="G236" s="784"/>
    </row>
    <row r="237" spans="1:7" x14ac:dyDescent="0.25">
      <c r="A237" s="784"/>
      <c r="B237" s="782"/>
      <c r="C237" s="782"/>
      <c r="D237" s="782"/>
      <c r="E237" s="784"/>
      <c r="F237" s="784"/>
      <c r="G237" s="784"/>
    </row>
    <row r="238" spans="1:7" x14ac:dyDescent="0.25">
      <c r="A238" s="784"/>
      <c r="B238" s="782"/>
      <c r="C238" s="782"/>
      <c r="D238" s="782"/>
      <c r="E238" s="784"/>
      <c r="F238" s="784"/>
      <c r="G238" s="784"/>
    </row>
    <row r="239" spans="1:7" x14ac:dyDescent="0.25">
      <c r="A239" s="784"/>
      <c r="B239" s="782"/>
      <c r="C239" s="782"/>
      <c r="D239" s="782"/>
      <c r="E239" s="784"/>
      <c r="F239" s="784"/>
      <c r="G239" s="784"/>
    </row>
    <row r="240" spans="1:7" x14ac:dyDescent="0.25">
      <c r="A240" s="784"/>
      <c r="B240" s="782"/>
      <c r="C240" s="782"/>
      <c r="D240" s="782"/>
      <c r="E240" s="784"/>
      <c r="F240" s="784"/>
      <c r="G240" s="784"/>
    </row>
    <row r="241" spans="1:7" x14ac:dyDescent="0.25">
      <c r="A241" s="784"/>
      <c r="B241" s="782"/>
      <c r="C241" s="782"/>
      <c r="D241" s="782"/>
      <c r="E241" s="784"/>
      <c r="F241" s="784"/>
      <c r="G241" s="784"/>
    </row>
    <row r="242" spans="1:7" x14ac:dyDescent="0.25">
      <c r="A242" s="784"/>
      <c r="B242" s="782"/>
      <c r="C242" s="782"/>
      <c r="D242" s="782"/>
      <c r="E242" s="784"/>
      <c r="F242" s="784"/>
      <c r="G242" s="784"/>
    </row>
    <row r="243" spans="1:7" x14ac:dyDescent="0.25">
      <c r="A243" s="784"/>
      <c r="B243" s="782"/>
      <c r="C243" s="782"/>
      <c r="D243" s="782"/>
      <c r="E243" s="784"/>
      <c r="F243" s="784"/>
      <c r="G243" s="784"/>
    </row>
    <row r="244" spans="1:7" x14ac:dyDescent="0.25">
      <c r="A244" s="784"/>
      <c r="B244" s="782"/>
      <c r="C244" s="782"/>
      <c r="D244" s="782"/>
      <c r="E244" s="784"/>
      <c r="F244" s="784"/>
      <c r="G244" s="784"/>
    </row>
    <row r="245" spans="1:7" x14ac:dyDescent="0.25">
      <c r="A245" s="784"/>
      <c r="B245" s="782"/>
      <c r="C245" s="782"/>
      <c r="D245" s="782"/>
      <c r="E245" s="784"/>
      <c r="F245" s="784"/>
      <c r="G245" s="784"/>
    </row>
    <row r="246" spans="1:7" x14ac:dyDescent="0.25">
      <c r="A246" s="784"/>
      <c r="B246" s="782"/>
      <c r="C246" s="782"/>
      <c r="D246" s="782"/>
      <c r="E246" s="784"/>
      <c r="F246" s="784"/>
      <c r="G246" s="784"/>
    </row>
    <row r="247" spans="1:7" x14ac:dyDescent="0.25">
      <c r="A247" s="784"/>
      <c r="B247" s="782"/>
      <c r="C247" s="782"/>
      <c r="D247" s="782"/>
      <c r="E247" s="784"/>
      <c r="F247" s="784"/>
      <c r="G247" s="784"/>
    </row>
    <row r="248" spans="1:7" x14ac:dyDescent="0.25">
      <c r="A248" s="784"/>
      <c r="B248" s="782"/>
      <c r="C248" s="782"/>
      <c r="D248" s="782"/>
      <c r="E248" s="784"/>
      <c r="F248" s="784"/>
      <c r="G248" s="784"/>
    </row>
    <row r="249" spans="1:7" x14ac:dyDescent="0.25">
      <c r="A249" s="784"/>
      <c r="B249" s="782"/>
      <c r="C249" s="782"/>
      <c r="D249" s="782"/>
      <c r="E249" s="784"/>
      <c r="F249" s="784"/>
      <c r="G249" s="784"/>
    </row>
    <row r="250" spans="1:7" x14ac:dyDescent="0.25">
      <c r="A250" s="784"/>
      <c r="B250" s="782"/>
      <c r="C250" s="782"/>
      <c r="D250" s="782"/>
      <c r="E250" s="784"/>
      <c r="F250" s="784"/>
      <c r="G250" s="784"/>
    </row>
    <row r="251" spans="1:7" x14ac:dyDescent="0.25">
      <c r="A251" s="784"/>
      <c r="B251" s="782"/>
      <c r="C251" s="782"/>
      <c r="D251" s="782"/>
      <c r="E251" s="784"/>
      <c r="F251" s="784"/>
      <c r="G251" s="784"/>
    </row>
    <row r="252" spans="1:7" x14ac:dyDescent="0.25">
      <c r="A252" s="784"/>
      <c r="B252" s="782"/>
      <c r="C252" s="782"/>
      <c r="D252" s="782"/>
      <c r="E252" s="784"/>
      <c r="F252" s="784"/>
      <c r="G252" s="784"/>
    </row>
    <row r="253" spans="1:7" x14ac:dyDescent="0.25">
      <c r="A253" s="784"/>
      <c r="B253" s="782"/>
      <c r="C253" s="782"/>
      <c r="D253" s="782"/>
      <c r="E253" s="784"/>
      <c r="F253" s="784"/>
      <c r="G253" s="784"/>
    </row>
    <row r="254" spans="1:7" x14ac:dyDescent="0.25">
      <c r="A254" s="784"/>
      <c r="B254" s="782"/>
      <c r="C254" s="782"/>
      <c r="D254" s="782"/>
      <c r="E254" s="784"/>
      <c r="F254" s="784"/>
      <c r="G254" s="784"/>
    </row>
    <row r="255" spans="1:7" x14ac:dyDescent="0.25">
      <c r="A255" s="784"/>
      <c r="B255" s="782"/>
      <c r="C255" s="782"/>
      <c r="D255" s="782"/>
      <c r="E255" s="784"/>
      <c r="F255" s="784"/>
      <c r="G255" s="784"/>
    </row>
    <row r="256" spans="1:7" x14ac:dyDescent="0.25">
      <c r="A256" s="784"/>
      <c r="B256" s="782"/>
      <c r="C256" s="782"/>
      <c r="D256" s="782"/>
      <c r="E256" s="784"/>
      <c r="F256" s="784"/>
      <c r="G256" s="784"/>
    </row>
    <row r="257" spans="1:7" x14ac:dyDescent="0.25">
      <c r="A257" s="784"/>
      <c r="B257" s="782"/>
      <c r="C257" s="782"/>
      <c r="D257" s="782"/>
      <c r="E257" s="784"/>
      <c r="F257" s="784"/>
      <c r="G257" s="784"/>
    </row>
    <row r="258" spans="1:7" x14ac:dyDescent="0.25">
      <c r="A258" s="784"/>
      <c r="B258" s="782"/>
      <c r="C258" s="782"/>
      <c r="D258" s="782"/>
      <c r="E258" s="784"/>
      <c r="F258" s="784"/>
      <c r="G258" s="784"/>
    </row>
    <row r="259" spans="1:7" x14ac:dyDescent="0.25">
      <c r="A259" s="784"/>
      <c r="B259" s="782"/>
      <c r="C259" s="782"/>
      <c r="D259" s="782"/>
      <c r="E259" s="784"/>
      <c r="F259" s="784"/>
      <c r="G259" s="784"/>
    </row>
    <row r="260" spans="1:7" x14ac:dyDescent="0.25">
      <c r="A260" s="784"/>
      <c r="B260" s="782"/>
      <c r="C260" s="782"/>
      <c r="D260" s="782"/>
      <c r="E260" s="784"/>
      <c r="F260" s="784"/>
      <c r="G260" s="784"/>
    </row>
    <row r="261" spans="1:7" x14ac:dyDescent="0.25">
      <c r="A261" s="784"/>
      <c r="B261" s="782"/>
      <c r="C261" s="782"/>
      <c r="D261" s="782"/>
      <c r="E261" s="784"/>
      <c r="F261" s="784"/>
      <c r="G261" s="784"/>
    </row>
    <row r="262" spans="1:7" x14ac:dyDescent="0.25">
      <c r="A262" s="784"/>
      <c r="B262" s="781"/>
      <c r="C262" s="781"/>
      <c r="D262" s="781"/>
      <c r="E262" s="784"/>
      <c r="F262" s="784"/>
      <c r="G262" s="784"/>
    </row>
    <row r="263" spans="1:7" x14ac:dyDescent="0.25">
      <c r="A263" s="784"/>
      <c r="B263" s="781"/>
      <c r="C263" s="781"/>
      <c r="D263" s="781"/>
      <c r="E263" s="784"/>
      <c r="F263" s="784"/>
      <c r="G263" s="784"/>
    </row>
    <row r="264" spans="1:7" x14ac:dyDescent="0.25">
      <c r="A264" s="784"/>
      <c r="B264" s="781"/>
      <c r="C264" s="781"/>
      <c r="D264" s="781"/>
      <c r="E264" s="784"/>
      <c r="F264" s="784"/>
      <c r="G264" s="784"/>
    </row>
    <row r="265" spans="1:7" x14ac:dyDescent="0.25">
      <c r="A265" s="784"/>
      <c r="B265" s="781"/>
      <c r="C265" s="781"/>
      <c r="D265" s="781"/>
      <c r="E265" s="784"/>
      <c r="F265" s="784"/>
      <c r="G265" s="784"/>
    </row>
    <row r="266" spans="1:7" x14ac:dyDescent="0.25">
      <c r="A266" s="784"/>
      <c r="B266" s="781"/>
      <c r="C266" s="781"/>
      <c r="D266" s="781"/>
      <c r="E266" s="784"/>
      <c r="F266" s="784"/>
      <c r="G266" s="784"/>
    </row>
    <row r="267" spans="1:7" x14ac:dyDescent="0.25">
      <c r="A267" s="784"/>
      <c r="B267" s="781"/>
      <c r="C267" s="781"/>
      <c r="D267" s="781"/>
      <c r="E267" s="784"/>
      <c r="F267" s="784"/>
      <c r="G267" s="784"/>
    </row>
    <row r="268" spans="1:7" x14ac:dyDescent="0.25">
      <c r="A268" s="784"/>
      <c r="B268" s="781"/>
      <c r="C268" s="781"/>
      <c r="D268" s="781"/>
      <c r="E268" s="784"/>
      <c r="F268" s="784"/>
      <c r="G268" s="784"/>
    </row>
    <row r="269" spans="1:7" x14ac:dyDescent="0.25">
      <c r="A269" s="784"/>
      <c r="B269" s="781"/>
      <c r="C269" s="781"/>
      <c r="D269" s="781"/>
      <c r="E269" s="784"/>
      <c r="F269" s="784"/>
      <c r="G269" s="784"/>
    </row>
    <row r="270" spans="1:7" x14ac:dyDescent="0.25">
      <c r="A270" s="784"/>
      <c r="B270" s="781"/>
      <c r="C270" s="781"/>
      <c r="D270" s="781"/>
      <c r="E270" s="784"/>
      <c r="F270" s="784"/>
      <c r="G270" s="784"/>
    </row>
    <row r="271" spans="1:7" x14ac:dyDescent="0.25">
      <c r="A271" s="784"/>
      <c r="B271" s="781"/>
      <c r="C271" s="781"/>
      <c r="D271" s="781"/>
      <c r="E271" s="784"/>
      <c r="F271" s="784"/>
      <c r="G271" s="784"/>
    </row>
    <row r="272" spans="1:7" x14ac:dyDescent="0.25">
      <c r="A272" s="784"/>
      <c r="B272" s="781"/>
      <c r="C272" s="781"/>
      <c r="D272" s="781"/>
      <c r="E272" s="784"/>
      <c r="F272" s="784"/>
      <c r="G272" s="784"/>
    </row>
    <row r="273" spans="1:7" x14ac:dyDescent="0.25">
      <c r="A273" s="784"/>
      <c r="B273" s="781"/>
      <c r="C273" s="781"/>
      <c r="D273" s="781"/>
      <c r="E273" s="784"/>
      <c r="F273" s="784"/>
      <c r="G273" s="784"/>
    </row>
    <row r="274" spans="1:7" x14ac:dyDescent="0.25">
      <c r="A274" s="784"/>
      <c r="B274" s="784"/>
      <c r="C274" s="784"/>
      <c r="D274" s="784"/>
      <c r="E274" s="784"/>
      <c r="F274" s="784"/>
      <c r="G274" s="784"/>
    </row>
    <row r="275" spans="1:7" x14ac:dyDescent="0.25">
      <c r="A275" s="784"/>
      <c r="B275" s="784"/>
      <c r="C275" s="784"/>
      <c r="D275" s="784"/>
      <c r="E275" s="784"/>
      <c r="F275" s="784"/>
      <c r="G275" s="784"/>
    </row>
    <row r="276" spans="1:7" x14ac:dyDescent="0.25">
      <c r="A276" s="784"/>
      <c r="B276" s="784"/>
      <c r="C276" s="784"/>
      <c r="D276" s="784"/>
      <c r="E276" s="784"/>
      <c r="F276" s="784"/>
      <c r="G276" s="784"/>
    </row>
    <row r="277" spans="1:7" x14ac:dyDescent="0.25">
      <c r="A277" s="784"/>
      <c r="B277" s="784"/>
      <c r="C277" s="784"/>
      <c r="D277" s="784"/>
      <c r="E277" s="784"/>
      <c r="F277" s="784"/>
      <c r="G277" s="784"/>
    </row>
    <row r="278" spans="1:7" x14ac:dyDescent="0.25">
      <c r="A278" s="784"/>
      <c r="B278" s="784"/>
      <c r="C278" s="784"/>
      <c r="D278" s="784"/>
      <c r="E278" s="784"/>
      <c r="F278" s="784"/>
      <c r="G278" s="784"/>
    </row>
    <row r="279" spans="1:7" x14ac:dyDescent="0.25">
      <c r="A279" s="784"/>
      <c r="B279" s="784"/>
      <c r="C279" s="784"/>
      <c r="D279" s="784"/>
      <c r="E279" s="784"/>
      <c r="F279" s="784"/>
      <c r="G279" s="784"/>
    </row>
    <row r="280" spans="1:7" x14ac:dyDescent="0.25">
      <c r="A280" s="784"/>
      <c r="B280" s="784"/>
      <c r="C280" s="784"/>
      <c r="D280" s="784"/>
      <c r="E280" s="784"/>
      <c r="F280" s="784"/>
      <c r="G280" s="784"/>
    </row>
    <row r="281" spans="1:7" x14ac:dyDescent="0.25">
      <c r="A281" s="784"/>
      <c r="B281" s="784"/>
      <c r="C281" s="784"/>
      <c r="D281" s="784"/>
      <c r="E281" s="784"/>
      <c r="F281" s="784"/>
      <c r="G281" s="784"/>
    </row>
    <row r="282" spans="1:7" x14ac:dyDescent="0.25">
      <c r="A282" s="784"/>
      <c r="B282" s="784"/>
      <c r="C282" s="784"/>
      <c r="D282" s="784"/>
      <c r="E282" s="784"/>
      <c r="F282" s="784"/>
      <c r="G282" s="784"/>
    </row>
    <row r="283" spans="1:7" x14ac:dyDescent="0.25">
      <c r="A283" s="784"/>
      <c r="B283" s="784"/>
      <c r="C283" s="784"/>
      <c r="D283" s="784"/>
      <c r="E283" s="784"/>
      <c r="F283" s="784"/>
      <c r="G283" s="784"/>
    </row>
    <row r="284" spans="1:7" x14ac:dyDescent="0.25">
      <c r="A284" s="784"/>
      <c r="B284" s="784"/>
      <c r="C284" s="784"/>
      <c r="D284" s="784"/>
      <c r="E284" s="784"/>
      <c r="F284" s="784"/>
      <c r="G284" s="784"/>
    </row>
    <row r="285" spans="1:7" x14ac:dyDescent="0.25">
      <c r="A285" s="784"/>
      <c r="B285" s="784"/>
      <c r="C285" s="784"/>
      <c r="D285" s="784"/>
      <c r="E285" s="784"/>
      <c r="F285" s="784"/>
      <c r="G285" s="784"/>
    </row>
    <row r="286" spans="1:7" x14ac:dyDescent="0.25">
      <c r="A286" s="784"/>
      <c r="B286" s="784"/>
      <c r="C286" s="784"/>
      <c r="D286" s="784"/>
      <c r="E286" s="784"/>
      <c r="F286" s="784"/>
      <c r="G286" s="784"/>
    </row>
    <row r="287" spans="1:7" x14ac:dyDescent="0.25">
      <c r="A287" s="784"/>
      <c r="B287" s="784"/>
      <c r="C287" s="784"/>
      <c r="D287" s="784"/>
      <c r="E287" s="784"/>
      <c r="F287" s="784"/>
      <c r="G287" s="784"/>
    </row>
    <row r="288" spans="1:7" x14ac:dyDescent="0.25">
      <c r="A288" s="784"/>
      <c r="B288" s="784"/>
      <c r="C288" s="784"/>
      <c r="D288" s="784"/>
      <c r="E288" s="784"/>
      <c r="F288" s="784"/>
      <c r="G288" s="784"/>
    </row>
    <row r="289" spans="1:7" x14ac:dyDescent="0.25">
      <c r="A289" s="784"/>
      <c r="B289" s="784"/>
      <c r="C289" s="784"/>
      <c r="D289" s="784"/>
      <c r="E289" s="784"/>
      <c r="F289" s="784"/>
      <c r="G289" s="784"/>
    </row>
    <row r="290" spans="1:7" x14ac:dyDescent="0.25">
      <c r="A290" s="784"/>
      <c r="B290" s="784"/>
      <c r="C290" s="784"/>
      <c r="D290" s="784"/>
      <c r="E290" s="784"/>
      <c r="F290" s="784"/>
      <c r="G290" s="784"/>
    </row>
    <row r="291" spans="1:7" x14ac:dyDescent="0.25">
      <c r="A291" s="784"/>
      <c r="B291" s="784"/>
      <c r="C291" s="784"/>
      <c r="D291" s="784"/>
      <c r="E291" s="784"/>
      <c r="F291" s="784"/>
      <c r="G291" s="784"/>
    </row>
    <row r="292" spans="1:7" x14ac:dyDescent="0.25">
      <c r="A292" s="784"/>
      <c r="B292" s="784"/>
      <c r="C292" s="784"/>
      <c r="D292" s="784"/>
      <c r="E292" s="784"/>
      <c r="F292" s="784"/>
      <c r="G292" s="784"/>
    </row>
    <row r="293" spans="1:7" x14ac:dyDescent="0.25">
      <c r="A293" s="784"/>
      <c r="B293" s="784"/>
      <c r="C293" s="784"/>
      <c r="D293" s="784"/>
      <c r="E293" s="784"/>
      <c r="F293" s="784"/>
      <c r="G293" s="784"/>
    </row>
    <row r="294" spans="1:7" x14ac:dyDescent="0.25">
      <c r="A294" s="784"/>
      <c r="B294" s="784"/>
      <c r="C294" s="784"/>
      <c r="D294" s="784"/>
      <c r="E294" s="784"/>
      <c r="F294" s="784"/>
      <c r="G294" s="784"/>
    </row>
    <row r="295" spans="1:7" x14ac:dyDescent="0.25">
      <c r="A295" s="784"/>
      <c r="B295" s="784"/>
      <c r="C295" s="784"/>
      <c r="D295" s="784"/>
      <c r="E295" s="784"/>
      <c r="F295" s="784"/>
      <c r="G295" s="784"/>
    </row>
    <row r="296" spans="1:7" x14ac:dyDescent="0.25">
      <c r="A296" s="784"/>
      <c r="B296" s="784"/>
      <c r="C296" s="784"/>
      <c r="D296" s="784"/>
      <c r="E296" s="784"/>
      <c r="F296" s="784"/>
      <c r="G296" s="784"/>
    </row>
    <row r="297" spans="1:7" x14ac:dyDescent="0.25">
      <c r="A297" s="784"/>
      <c r="B297" s="784"/>
      <c r="C297" s="784"/>
      <c r="D297" s="784"/>
      <c r="E297" s="784"/>
      <c r="F297" s="784"/>
      <c r="G297" s="784"/>
    </row>
    <row r="298" spans="1:7" x14ac:dyDescent="0.25">
      <c r="A298" s="784"/>
      <c r="B298" s="784"/>
      <c r="C298" s="784"/>
      <c r="D298" s="784"/>
      <c r="E298" s="784"/>
      <c r="F298" s="784"/>
      <c r="G298" s="784"/>
    </row>
  </sheetData>
  <mergeCells count="27">
    <mergeCell ref="B1:F1"/>
    <mergeCell ref="A33:H33"/>
    <mergeCell ref="A44:H44"/>
    <mergeCell ref="A3:H3"/>
    <mergeCell ref="A72:H72"/>
    <mergeCell ref="A9:A12"/>
    <mergeCell ref="B12:D12"/>
    <mergeCell ref="A42:D42"/>
    <mergeCell ref="A47:D47"/>
    <mergeCell ref="A53:D53"/>
    <mergeCell ref="A64:D64"/>
    <mergeCell ref="A68:D68"/>
    <mergeCell ref="L8:P8"/>
    <mergeCell ref="A92:C92"/>
    <mergeCell ref="I33:I68"/>
    <mergeCell ref="A49:H49"/>
    <mergeCell ref="A55:H55"/>
    <mergeCell ref="A66:H66"/>
    <mergeCell ref="D69:E69"/>
    <mergeCell ref="D79:E79"/>
    <mergeCell ref="A81:D81"/>
    <mergeCell ref="B88:C88"/>
    <mergeCell ref="B89:C89"/>
    <mergeCell ref="A82:C82"/>
    <mergeCell ref="A83:C83"/>
    <mergeCell ref="A84:C84"/>
    <mergeCell ref="A85:C85"/>
  </mergeCells>
  <pageMargins left="0.45" right="0.7" top="0.5" bottom="0.5" header="0.3" footer="0.3"/>
  <pageSetup scale="95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119"/>
  <sheetViews>
    <sheetView tabSelected="1" zoomScaleNormal="100" workbookViewId="0">
      <selection activeCell="G83" sqref="G83"/>
    </sheetView>
  </sheetViews>
  <sheetFormatPr defaultRowHeight="13.2" x14ac:dyDescent="0.25"/>
  <cols>
    <col min="1" max="1" width="36" bestFit="1" customWidth="1"/>
    <col min="2" max="2" width="15.88671875" bestFit="1" customWidth="1"/>
    <col min="3" max="3" width="15" bestFit="1" customWidth="1"/>
    <col min="4" max="4" width="14.88671875" bestFit="1" customWidth="1"/>
    <col min="5" max="5" width="9.5546875" bestFit="1" customWidth="1"/>
    <col min="6" max="6" width="14" bestFit="1" customWidth="1"/>
  </cols>
  <sheetData>
    <row r="1" spans="1:9" x14ac:dyDescent="0.25">
      <c r="A1" s="634"/>
      <c r="B1" s="634"/>
      <c r="C1" s="635" t="s">
        <v>1</v>
      </c>
      <c r="D1" s="636" t="s">
        <v>1</v>
      </c>
      <c r="E1" s="634"/>
      <c r="F1" s="629"/>
      <c r="G1" s="629"/>
      <c r="H1" s="629"/>
      <c r="I1" s="629"/>
    </row>
    <row r="2" spans="1:9" x14ac:dyDescent="0.25">
      <c r="A2" s="1111" t="s">
        <v>658</v>
      </c>
      <c r="B2" s="1111"/>
      <c r="C2" s="1111"/>
      <c r="D2" s="1111"/>
      <c r="E2" s="634"/>
      <c r="F2" s="629"/>
      <c r="G2" s="629"/>
      <c r="H2" s="629"/>
      <c r="I2" s="629"/>
    </row>
    <row r="3" spans="1:9" x14ac:dyDescent="0.25">
      <c r="A3" s="1111" t="s">
        <v>700</v>
      </c>
      <c r="B3" s="1111"/>
      <c r="C3" s="1111"/>
      <c r="D3" s="1111"/>
      <c r="E3" s="634"/>
      <c r="F3" s="629"/>
      <c r="G3" s="629"/>
      <c r="H3" s="629"/>
      <c r="I3" s="629"/>
    </row>
    <row r="4" spans="1:9" x14ac:dyDescent="0.25">
      <c r="A4" s="1111" t="s">
        <v>659</v>
      </c>
      <c r="B4" s="1111"/>
      <c r="C4" s="1111"/>
      <c r="D4" s="1111"/>
      <c r="E4" s="634"/>
      <c r="F4" s="629"/>
      <c r="G4" s="629"/>
      <c r="H4" s="629"/>
      <c r="I4" s="629"/>
    </row>
    <row r="5" spans="1:9" x14ac:dyDescent="0.25">
      <c r="A5" s="637"/>
      <c r="B5" s="637"/>
      <c r="C5" s="637"/>
      <c r="D5" s="637"/>
      <c r="E5" s="634"/>
      <c r="F5" s="629"/>
      <c r="G5" s="629"/>
      <c r="H5" s="629"/>
      <c r="I5" s="629"/>
    </row>
    <row r="6" spans="1:9" x14ac:dyDescent="0.25">
      <c r="A6" s="1109" t="s">
        <v>660</v>
      </c>
      <c r="B6" s="1109"/>
      <c r="C6" s="1109"/>
      <c r="D6" s="1109"/>
      <c r="E6" s="634"/>
      <c r="F6" s="629"/>
      <c r="G6" s="629"/>
      <c r="H6" s="629"/>
      <c r="I6" s="629"/>
    </row>
    <row r="7" spans="1:9" x14ac:dyDescent="0.25">
      <c r="A7" s="1109" t="s">
        <v>856</v>
      </c>
      <c r="B7" s="1109"/>
      <c r="C7" s="1109"/>
      <c r="D7" s="1109"/>
      <c r="E7" s="634"/>
      <c r="F7" s="629"/>
      <c r="G7" s="629"/>
      <c r="H7" s="629"/>
      <c r="I7" s="629"/>
    </row>
    <row r="8" spans="1:9" x14ac:dyDescent="0.25">
      <c r="A8" s="1111"/>
      <c r="B8" s="1111"/>
      <c r="C8" s="1111"/>
      <c r="D8" s="1111"/>
      <c r="E8" s="634"/>
      <c r="F8" s="629"/>
      <c r="G8" s="629"/>
      <c r="H8" s="629"/>
      <c r="I8" s="629"/>
    </row>
    <row r="9" spans="1:9" x14ac:dyDescent="0.25">
      <c r="A9" s="638" t="s">
        <v>661</v>
      </c>
      <c r="B9" s="639" t="s">
        <v>662</v>
      </c>
      <c r="C9" s="639" t="s">
        <v>663</v>
      </c>
      <c r="D9" s="639" t="s">
        <v>664</v>
      </c>
      <c r="E9" s="630"/>
      <c r="F9" s="629"/>
      <c r="G9" s="629"/>
      <c r="H9" s="629"/>
      <c r="I9" s="629"/>
    </row>
    <row r="10" spans="1:9" x14ac:dyDescent="0.25">
      <c r="A10" s="640" t="s">
        <v>665</v>
      </c>
      <c r="B10" s="641">
        <f>SUM(B11:B95)+SUM(B100:B110)</f>
        <v>8415309.8499999996</v>
      </c>
      <c r="C10" s="641">
        <f>SUM(C11:C95)+SUM(C100:C110)</f>
        <v>584690.15</v>
      </c>
      <c r="D10" s="641">
        <f>B10+C10</f>
        <v>9000000</v>
      </c>
      <c r="E10" s="655"/>
      <c r="F10" s="648" t="s">
        <v>1</v>
      </c>
      <c r="G10" s="629"/>
      <c r="H10" s="643"/>
      <c r="I10" s="629"/>
    </row>
    <row r="11" spans="1:9" x14ac:dyDescent="0.25">
      <c r="A11" s="630" t="s">
        <v>143</v>
      </c>
      <c r="B11" s="631">
        <f>'Payment T&amp;T LAWSON'!I2</f>
        <v>13042.3</v>
      </c>
      <c r="C11" s="631">
        <f>'Payment T&amp;T LAWSON'!K2</f>
        <v>1449.76</v>
      </c>
      <c r="D11" s="631">
        <f>B11+C11</f>
        <v>14492.06</v>
      </c>
      <c r="E11" s="642"/>
      <c r="F11" s="648" t="s">
        <v>1</v>
      </c>
      <c r="G11" s="648"/>
      <c r="H11" s="654"/>
      <c r="I11" s="648"/>
    </row>
    <row r="12" spans="1:9" x14ac:dyDescent="0.25">
      <c r="A12" s="630" t="s">
        <v>155</v>
      </c>
      <c r="B12" s="631">
        <v>0</v>
      </c>
      <c r="C12" s="631">
        <f>'Payment T&amp;T LAWSON'!K3</f>
        <v>16308.2</v>
      </c>
      <c r="D12" s="631">
        <f>B12+C12</f>
        <v>16308.2</v>
      </c>
      <c r="E12" s="642"/>
      <c r="F12" s="648"/>
      <c r="G12" s="649"/>
      <c r="H12" s="654"/>
      <c r="I12" s="648"/>
    </row>
    <row r="13" spans="1:9" x14ac:dyDescent="0.25">
      <c r="A13" s="630" t="s">
        <v>166</v>
      </c>
      <c r="B13" s="631">
        <f>'Payment T&amp;T LAWSON'!I4</f>
        <v>3726.37</v>
      </c>
      <c r="C13" s="631">
        <f>'Payment T&amp;T LAWSON'!K4</f>
        <v>416.16</v>
      </c>
      <c r="D13" s="631">
        <f t="shared" ref="D13:D79" si="0">B13+C13</f>
        <v>4142.53</v>
      </c>
      <c r="E13" s="642"/>
      <c r="F13" s="648"/>
      <c r="G13" s="649"/>
      <c r="H13" s="654"/>
      <c r="I13" s="648"/>
    </row>
    <row r="14" spans="1:9" x14ac:dyDescent="0.25">
      <c r="A14" s="630" t="s">
        <v>64</v>
      </c>
      <c r="B14" s="631">
        <f>'Payment T&amp;T LAWSON'!I5</f>
        <v>86327.53</v>
      </c>
      <c r="C14" s="631">
        <v>0</v>
      </c>
      <c r="D14" s="631">
        <f t="shared" si="0"/>
        <v>86327.53</v>
      </c>
      <c r="E14" s="642"/>
      <c r="F14" s="648"/>
      <c r="G14" s="648"/>
      <c r="H14" s="654"/>
      <c r="I14" s="648"/>
    </row>
    <row r="15" spans="1:9" x14ac:dyDescent="0.25">
      <c r="A15" s="630" t="s">
        <v>107</v>
      </c>
      <c r="B15" s="631">
        <v>0</v>
      </c>
      <c r="C15" s="631">
        <f>'Payment T&amp;T LAWSON'!K6</f>
        <v>22484.400000000001</v>
      </c>
      <c r="D15" s="631">
        <f t="shared" si="0"/>
        <v>22484.400000000001</v>
      </c>
      <c r="E15" s="642"/>
      <c r="F15" s="648"/>
      <c r="G15" s="648"/>
      <c r="H15" s="654"/>
      <c r="I15" s="648"/>
    </row>
    <row r="16" spans="1:9" x14ac:dyDescent="0.25">
      <c r="A16" s="630" t="s">
        <v>67</v>
      </c>
      <c r="B16" s="631">
        <f>'Payment T&amp;T LAWSON'!I7</f>
        <v>11179.11</v>
      </c>
      <c r="C16" s="631">
        <f>'Payment T&amp;T LAWSON'!K7</f>
        <v>7343</v>
      </c>
      <c r="D16" s="631">
        <f t="shared" si="0"/>
        <v>18522.11</v>
      </c>
      <c r="E16" s="642"/>
      <c r="F16" s="648"/>
      <c r="G16" s="648"/>
      <c r="H16" s="654"/>
      <c r="I16" s="648"/>
    </row>
    <row r="17" spans="1:9" x14ac:dyDescent="0.25">
      <c r="A17" s="630" t="s">
        <v>234</v>
      </c>
      <c r="B17" s="631">
        <f>'Payment T&amp;T LAWSON'!I8</f>
        <v>26084.6</v>
      </c>
      <c r="C17" s="631">
        <f>'Payment T&amp;T LAWSON'!K8</f>
        <v>1179.9000000000001</v>
      </c>
      <c r="D17" s="631">
        <f t="shared" si="0"/>
        <v>27264.5</v>
      </c>
      <c r="E17" s="642"/>
      <c r="F17" s="648"/>
      <c r="G17" s="648"/>
      <c r="H17" s="654"/>
      <c r="I17" s="648"/>
    </row>
    <row r="18" spans="1:9" x14ac:dyDescent="0.25">
      <c r="A18" s="630" t="s">
        <v>600</v>
      </c>
      <c r="B18" s="631">
        <f>'Payment T&amp;T LAWSON'!I9</f>
        <v>3726.37</v>
      </c>
      <c r="C18" s="631">
        <f>'Payment T&amp;T LAWSON'!K9</f>
        <v>304.2</v>
      </c>
      <c r="D18" s="631">
        <f t="shared" si="0"/>
        <v>4030.57</v>
      </c>
      <c r="E18" s="642"/>
      <c r="F18" s="648"/>
      <c r="G18" s="648"/>
      <c r="H18" s="654"/>
      <c r="I18" s="648"/>
    </row>
    <row r="19" spans="1:9" x14ac:dyDescent="0.25">
      <c r="A19" s="630" t="s">
        <v>666</v>
      </c>
      <c r="B19" s="631">
        <f>'Payment T&amp;T LAWSON'!I11+'Payment T&amp;T LAWSON'!J11</f>
        <v>1522605.72</v>
      </c>
      <c r="C19" s="631">
        <f>'Payment T&amp;T LAWSON'!K11</f>
        <v>0</v>
      </c>
      <c r="D19" s="631">
        <f t="shared" si="0"/>
        <v>1522605.72</v>
      </c>
      <c r="E19" s="642"/>
      <c r="F19" s="648"/>
      <c r="G19" s="648"/>
      <c r="H19" s="654"/>
      <c r="I19" s="648"/>
    </row>
    <row r="20" spans="1:9" x14ac:dyDescent="0.25">
      <c r="A20" s="630" t="s">
        <v>667</v>
      </c>
      <c r="B20" s="631">
        <f>'Payment T&amp;T LAWSON'!I10</f>
        <v>59000.94</v>
      </c>
      <c r="C20" s="631">
        <f>'Payment T&amp;T LAWSON'!K10</f>
        <v>4590</v>
      </c>
      <c r="D20" s="631">
        <f t="shared" si="0"/>
        <v>63590.94</v>
      </c>
      <c r="E20" s="644"/>
      <c r="F20" s="648"/>
      <c r="G20" s="648"/>
      <c r="H20" s="654"/>
      <c r="I20" s="648"/>
    </row>
    <row r="21" spans="1:9" x14ac:dyDescent="0.25">
      <c r="A21" s="630" t="s">
        <v>76</v>
      </c>
      <c r="B21" s="631">
        <f>'Payment T&amp;T LAWSON'!I12</f>
        <v>478838.66</v>
      </c>
      <c r="C21" s="631">
        <f>'Payment T&amp;T LAWSON'!K12</f>
        <v>4373.2</v>
      </c>
      <c r="D21" s="631">
        <f t="shared" si="0"/>
        <v>483211.86</v>
      </c>
      <c r="E21" s="642"/>
      <c r="F21" s="648"/>
      <c r="G21" s="648"/>
      <c r="H21" s="654"/>
      <c r="I21" s="648"/>
    </row>
    <row r="22" spans="1:9" x14ac:dyDescent="0.25">
      <c r="A22" s="630" t="s">
        <v>89</v>
      </c>
      <c r="B22" s="631">
        <f>'Payment T&amp;T LAWSON'!I13</f>
        <v>33537.339999999997</v>
      </c>
      <c r="C22" s="631">
        <f>'Payment T&amp;T LAWSON'!K13</f>
        <v>1788</v>
      </c>
      <c r="D22" s="631">
        <f t="shared" si="0"/>
        <v>35325.339999999997</v>
      </c>
      <c r="E22" s="642"/>
      <c r="F22" s="648"/>
      <c r="G22" s="648"/>
      <c r="H22" s="654"/>
      <c r="I22" s="648"/>
    </row>
    <row r="23" spans="1:9" x14ac:dyDescent="0.25">
      <c r="A23" s="630" t="s">
        <v>113</v>
      </c>
      <c r="B23" s="631">
        <v>0</v>
      </c>
      <c r="C23" s="631">
        <f>'Payment T&amp;T LAWSON'!K14</f>
        <v>8969.6</v>
      </c>
      <c r="D23" s="631">
        <f t="shared" si="0"/>
        <v>8969.6</v>
      </c>
      <c r="E23" s="642"/>
      <c r="F23" s="648"/>
      <c r="G23" s="648"/>
      <c r="H23" s="654"/>
      <c r="I23" s="648"/>
    </row>
    <row r="24" spans="1:9" x14ac:dyDescent="0.25">
      <c r="A24" s="630" t="s">
        <v>668</v>
      </c>
      <c r="B24" s="631">
        <f>'Payment T&amp;T LAWSON'!I15</f>
        <v>1106732.3500000001</v>
      </c>
      <c r="C24" s="631">
        <f>'CTE TRANS'!AL14</f>
        <v>1322</v>
      </c>
      <c r="D24" s="631">
        <f t="shared" si="0"/>
        <v>1108054.3500000001</v>
      </c>
      <c r="E24" s="642"/>
      <c r="F24" s="648"/>
      <c r="G24" s="648"/>
      <c r="H24" s="654"/>
      <c r="I24" s="648"/>
    </row>
    <row r="25" spans="1:9" x14ac:dyDescent="0.25">
      <c r="A25" s="630" t="s">
        <v>669</v>
      </c>
      <c r="B25" s="631">
        <f>'Payment T&amp;T LAWSON'!I16</f>
        <v>97506.64</v>
      </c>
      <c r="C25" s="631">
        <f>'Payment T&amp;T LAWSON'!K16</f>
        <v>13068</v>
      </c>
      <c r="D25" s="631">
        <f t="shared" si="0"/>
        <v>110574.64</v>
      </c>
      <c r="E25" s="642"/>
      <c r="F25" s="648"/>
      <c r="G25" s="648"/>
      <c r="H25" s="652"/>
      <c r="I25" s="648"/>
    </row>
    <row r="26" spans="1:9" x14ac:dyDescent="0.25">
      <c r="A26" s="630" t="s">
        <v>78</v>
      </c>
      <c r="B26" s="631">
        <v>0</v>
      </c>
      <c r="C26" s="631">
        <f>'Payment T&amp;T LAWSON'!K17</f>
        <v>8678.7999999999993</v>
      </c>
      <c r="D26" s="631">
        <f t="shared" si="0"/>
        <v>8678.7999999999993</v>
      </c>
      <c r="E26" s="642"/>
      <c r="F26" s="648"/>
      <c r="G26" s="648"/>
      <c r="H26" s="654"/>
      <c r="I26" s="648"/>
    </row>
    <row r="27" spans="1:9" x14ac:dyDescent="0.25">
      <c r="A27" s="630" t="s">
        <v>79</v>
      </c>
      <c r="B27" s="631">
        <v>0</v>
      </c>
      <c r="C27" s="631">
        <f>'Payment T&amp;T LAWSON'!K18</f>
        <v>5181.8</v>
      </c>
      <c r="D27" s="631">
        <f t="shared" si="0"/>
        <v>5181.8</v>
      </c>
      <c r="E27" s="642"/>
      <c r="F27" s="648"/>
      <c r="G27" s="648"/>
      <c r="H27" s="654"/>
      <c r="I27" s="648"/>
    </row>
    <row r="28" spans="1:9" x14ac:dyDescent="0.25">
      <c r="A28" s="630" t="s">
        <v>124</v>
      </c>
      <c r="B28" s="631">
        <v>0</v>
      </c>
      <c r="C28" s="631">
        <f>'Payment T&amp;T LAWSON'!K19</f>
        <v>9280.7999999999993</v>
      </c>
      <c r="D28" s="631">
        <f t="shared" si="0"/>
        <v>9280.7999999999993</v>
      </c>
      <c r="E28" s="642"/>
      <c r="F28" s="648"/>
      <c r="G28" s="648"/>
      <c r="H28" s="654"/>
      <c r="I28" s="648"/>
    </row>
    <row r="29" spans="1:9" x14ac:dyDescent="0.25">
      <c r="A29" s="630" t="s">
        <v>80</v>
      </c>
      <c r="B29" s="631">
        <v>0</v>
      </c>
      <c r="C29" s="631">
        <f>'Payment T&amp;T LAWSON'!K20</f>
        <v>30682</v>
      </c>
      <c r="D29" s="631">
        <f t="shared" si="0"/>
        <v>30682</v>
      </c>
      <c r="E29" s="642"/>
      <c r="F29" s="648"/>
      <c r="G29" s="648"/>
      <c r="H29" s="654"/>
      <c r="I29" s="648"/>
    </row>
    <row r="30" spans="1:9" x14ac:dyDescent="0.25">
      <c r="A30" s="630" t="s">
        <v>670</v>
      </c>
      <c r="B30" s="631">
        <v>0</v>
      </c>
      <c r="C30" s="631">
        <f>'Payment T&amp;T LAWSON'!K21</f>
        <v>4445</v>
      </c>
      <c r="D30" s="631">
        <f t="shared" si="0"/>
        <v>4445</v>
      </c>
      <c r="E30" s="642"/>
      <c r="F30" s="648"/>
      <c r="G30" s="648"/>
      <c r="H30" s="654"/>
      <c r="I30" s="648"/>
    </row>
    <row r="31" spans="1:9" x14ac:dyDescent="0.25">
      <c r="A31" s="630" t="s">
        <v>671</v>
      </c>
      <c r="B31" s="631">
        <f>'Payment T&amp;T LAWSON'!I88</f>
        <v>209297.78</v>
      </c>
      <c r="C31" s="631">
        <f>'Payment T&amp;T LAWSON'!K88</f>
        <v>0</v>
      </c>
      <c r="D31" s="631">
        <f t="shared" si="0"/>
        <v>209297.78</v>
      </c>
      <c r="E31" s="642"/>
      <c r="F31" s="648"/>
      <c r="G31" s="648"/>
      <c r="H31" s="654"/>
      <c r="I31" s="648"/>
    </row>
    <row r="32" spans="1:9" x14ac:dyDescent="0.25">
      <c r="A32" s="630" t="s">
        <v>672</v>
      </c>
      <c r="B32" s="631">
        <f>'Payment T&amp;T LAWSON'!I22</f>
        <v>113654.31</v>
      </c>
      <c r="C32" s="631">
        <f>'Payment T&amp;T LAWSON'!K22</f>
        <v>12563.68</v>
      </c>
      <c r="D32" s="631">
        <f t="shared" si="0"/>
        <v>126217.99</v>
      </c>
      <c r="E32" s="642"/>
      <c r="F32" s="648"/>
      <c r="G32" s="648"/>
      <c r="H32" s="654"/>
      <c r="I32" s="648"/>
    </row>
    <row r="33" spans="1:9" x14ac:dyDescent="0.25">
      <c r="A33" s="630" t="s">
        <v>673</v>
      </c>
      <c r="B33" s="631">
        <v>0</v>
      </c>
      <c r="C33" s="631">
        <f>'Payment T&amp;T LAWSON'!K23</f>
        <v>11120.5</v>
      </c>
      <c r="D33" s="631">
        <f t="shared" si="0"/>
        <v>11120.5</v>
      </c>
      <c r="E33" s="642"/>
      <c r="F33" s="648"/>
      <c r="G33" s="648"/>
      <c r="H33" s="654"/>
      <c r="I33" s="648"/>
    </row>
    <row r="34" spans="1:9" x14ac:dyDescent="0.25">
      <c r="A34" s="630" t="s">
        <v>144</v>
      </c>
      <c r="B34" s="631">
        <f>'Payment T&amp;T LAWSON'!I24</f>
        <v>11179.11</v>
      </c>
      <c r="C34" s="631">
        <f>'Payment T&amp;T LAWSON'!K24</f>
        <v>0</v>
      </c>
      <c r="D34" s="631">
        <f t="shared" si="0"/>
        <v>11179.11</v>
      </c>
      <c r="E34" s="642"/>
      <c r="F34" s="648"/>
      <c r="G34" s="648"/>
      <c r="H34" s="654"/>
      <c r="I34" s="648"/>
    </row>
    <row r="35" spans="1:9" x14ac:dyDescent="0.25">
      <c r="A35" s="630" t="s">
        <v>699</v>
      </c>
      <c r="B35" s="631">
        <v>0</v>
      </c>
      <c r="C35" s="631">
        <f>'Payment T&amp;T LAWSON'!K25</f>
        <v>5981.7</v>
      </c>
      <c r="D35" s="631">
        <f t="shared" si="0"/>
        <v>5981.7</v>
      </c>
      <c r="E35" s="642"/>
      <c r="F35" s="648"/>
      <c r="G35" s="648"/>
      <c r="H35" s="654"/>
      <c r="I35" s="648"/>
    </row>
    <row r="36" spans="1:9" s="864" customFormat="1" x14ac:dyDescent="0.25">
      <c r="A36" s="630" t="s">
        <v>864</v>
      </c>
      <c r="B36" s="631">
        <v>0</v>
      </c>
      <c r="C36" s="631">
        <f>'CTE TRANS'!AL26</f>
        <v>68</v>
      </c>
      <c r="D36" s="631">
        <f t="shared" si="0"/>
        <v>68</v>
      </c>
      <c r="E36" s="642"/>
      <c r="F36" s="831"/>
      <c r="G36" s="831"/>
      <c r="H36" s="654"/>
      <c r="I36" s="831"/>
    </row>
    <row r="37" spans="1:9" x14ac:dyDescent="0.25">
      <c r="A37" s="630" t="s">
        <v>104</v>
      </c>
      <c r="B37" s="631">
        <v>0</v>
      </c>
      <c r="C37" s="631">
        <f>'Payment T&amp;T LAWSON'!K27</f>
        <v>10742</v>
      </c>
      <c r="D37" s="631">
        <f t="shared" si="0"/>
        <v>10742</v>
      </c>
      <c r="E37" s="642"/>
      <c r="F37" s="648"/>
      <c r="G37" s="648"/>
      <c r="H37" s="654"/>
      <c r="I37" s="648"/>
    </row>
    <row r="38" spans="1:9" x14ac:dyDescent="0.25">
      <c r="A38" s="630" t="s">
        <v>82</v>
      </c>
      <c r="B38" s="631">
        <f>'Payment T&amp;T LAWSON'!I28</f>
        <v>334752.38</v>
      </c>
      <c r="C38" s="631">
        <f>'Payment T&amp;T LAWSON'!K28</f>
        <v>451.5</v>
      </c>
      <c r="D38" s="631">
        <f t="shared" si="0"/>
        <v>335203.88</v>
      </c>
      <c r="E38" s="642"/>
      <c r="F38" s="648"/>
      <c r="G38" s="648"/>
      <c r="H38" s="654"/>
      <c r="I38" s="648"/>
    </row>
    <row r="39" spans="1:9" x14ac:dyDescent="0.25">
      <c r="A39" s="630" t="s">
        <v>674</v>
      </c>
      <c r="B39" s="631">
        <v>0</v>
      </c>
      <c r="C39" s="631">
        <f>'Payment T&amp;T LAWSON'!K29</f>
        <v>9875.4</v>
      </c>
      <c r="D39" s="631">
        <f t="shared" si="0"/>
        <v>9875.4</v>
      </c>
      <c r="E39" s="642"/>
      <c r="F39" s="648"/>
      <c r="G39" s="648"/>
      <c r="H39" s="654"/>
      <c r="I39" s="648"/>
    </row>
    <row r="40" spans="1:9" x14ac:dyDescent="0.25">
      <c r="A40" s="630" t="s">
        <v>675</v>
      </c>
      <c r="B40" s="631">
        <f>'Payment T&amp;T LAWSON'!I30</f>
        <v>0</v>
      </c>
      <c r="C40" s="631">
        <f>'Payment T&amp;T LAWSON'!K30</f>
        <v>2439.1999999999998</v>
      </c>
      <c r="D40" s="631">
        <f t="shared" si="0"/>
        <v>2439.1999999999998</v>
      </c>
      <c r="E40" s="642"/>
      <c r="F40" s="648"/>
      <c r="G40" s="648"/>
      <c r="H40" s="654"/>
      <c r="I40" s="648"/>
    </row>
    <row r="41" spans="1:9" x14ac:dyDescent="0.25">
      <c r="A41" s="630" t="s">
        <v>676</v>
      </c>
      <c r="B41" s="631">
        <v>0</v>
      </c>
      <c r="C41" s="631">
        <f>'Payment T&amp;T LAWSON'!K82</f>
        <v>15961.9</v>
      </c>
      <c r="D41" s="631">
        <f t="shared" si="0"/>
        <v>15961.9</v>
      </c>
      <c r="E41" s="642"/>
      <c r="F41" s="648"/>
      <c r="G41" s="648"/>
      <c r="H41" s="654"/>
      <c r="I41" s="648"/>
    </row>
    <row r="42" spans="1:9" x14ac:dyDescent="0.25">
      <c r="A42" s="630" t="s">
        <v>677</v>
      </c>
      <c r="B42" s="631">
        <f>'Payment T&amp;T LAWSON'!I31</f>
        <v>0</v>
      </c>
      <c r="C42" s="631">
        <f>'Payment T&amp;T LAWSON'!K31</f>
        <v>18873.2</v>
      </c>
      <c r="D42" s="631">
        <f t="shared" si="0"/>
        <v>18873.2</v>
      </c>
      <c r="E42" s="642"/>
      <c r="F42" s="648"/>
      <c r="G42" s="648"/>
      <c r="H42" s="654"/>
      <c r="I42" s="648"/>
    </row>
    <row r="43" spans="1:9" x14ac:dyDescent="0.25">
      <c r="A43" s="630" t="s">
        <v>132</v>
      </c>
      <c r="B43" s="631">
        <f>'Payment T&amp;T LAWSON'!I32</f>
        <v>162097.32</v>
      </c>
      <c r="C43" s="631">
        <f>'Payment T&amp;T LAWSON'!K32</f>
        <v>3196.8</v>
      </c>
      <c r="D43" s="631">
        <f t="shared" si="0"/>
        <v>165294.12</v>
      </c>
      <c r="E43" s="642"/>
      <c r="F43" s="648"/>
      <c r="G43" s="648"/>
      <c r="H43" s="652"/>
      <c r="I43" s="648"/>
    </row>
    <row r="44" spans="1:9" x14ac:dyDescent="0.25">
      <c r="A44" s="630" t="s">
        <v>133</v>
      </c>
      <c r="B44" s="631">
        <f>'Payment T&amp;T LAWSON'!I33</f>
        <v>892466.21</v>
      </c>
      <c r="C44" s="631">
        <f>'Payment T&amp;T LAWSON'!K33</f>
        <v>0</v>
      </c>
      <c r="D44" s="631">
        <f t="shared" si="0"/>
        <v>892466.21</v>
      </c>
      <c r="E44" s="642" t="s">
        <v>1</v>
      </c>
      <c r="F44" s="648"/>
      <c r="G44" s="648"/>
      <c r="H44" s="652"/>
      <c r="I44" s="648"/>
    </row>
    <row r="45" spans="1:9" x14ac:dyDescent="0.25">
      <c r="A45" s="630" t="s">
        <v>87</v>
      </c>
      <c r="B45" s="631">
        <f>'Payment T&amp;T LAWSON'!I34</f>
        <v>191908.1</v>
      </c>
      <c r="C45" s="631">
        <f>'Payment T&amp;T LAWSON'!K34</f>
        <v>9559.2000000000007</v>
      </c>
      <c r="D45" s="631">
        <f t="shared" si="0"/>
        <v>201467.3</v>
      </c>
      <c r="E45" s="644" t="s">
        <v>1</v>
      </c>
      <c r="F45" s="648"/>
      <c r="G45" s="648"/>
      <c r="H45" s="654"/>
      <c r="I45" s="648"/>
    </row>
    <row r="46" spans="1:9" x14ac:dyDescent="0.25">
      <c r="A46" s="630" t="s">
        <v>678</v>
      </c>
      <c r="B46" s="631">
        <v>0</v>
      </c>
      <c r="C46" s="631">
        <f>'Payment T&amp;T LAWSON'!K35</f>
        <v>0</v>
      </c>
      <c r="D46" s="631">
        <f t="shared" si="0"/>
        <v>0</v>
      </c>
      <c r="E46" s="644" t="s">
        <v>1</v>
      </c>
      <c r="F46" s="648"/>
      <c r="G46" s="648"/>
      <c r="H46" s="654"/>
      <c r="I46" s="648"/>
    </row>
    <row r="47" spans="1:9" x14ac:dyDescent="0.25">
      <c r="A47" s="630" t="s">
        <v>679</v>
      </c>
      <c r="B47" s="631">
        <v>0</v>
      </c>
      <c r="C47" s="631">
        <f>'Payment T&amp;T LAWSON'!K36</f>
        <v>12936</v>
      </c>
      <c r="D47" s="631">
        <f t="shared" si="0"/>
        <v>12936</v>
      </c>
      <c r="E47" s="644" t="s">
        <v>1</v>
      </c>
      <c r="F47" s="648"/>
      <c r="G47" s="648"/>
      <c r="H47" s="654"/>
      <c r="I47" s="648"/>
    </row>
    <row r="48" spans="1:9" x14ac:dyDescent="0.25">
      <c r="A48" s="630" t="s">
        <v>92</v>
      </c>
      <c r="B48" s="631">
        <v>0</v>
      </c>
      <c r="C48" s="631">
        <f>'Payment T&amp;T LAWSON'!K37</f>
        <v>4706.8999999999996</v>
      </c>
      <c r="D48" s="631">
        <f t="shared" si="0"/>
        <v>4706.8999999999996</v>
      </c>
      <c r="E48" s="644" t="s">
        <v>1</v>
      </c>
      <c r="F48" s="648"/>
      <c r="G48" s="650"/>
      <c r="H48" s="653"/>
      <c r="I48" s="648"/>
    </row>
    <row r="49" spans="1:9" x14ac:dyDescent="0.25">
      <c r="A49" s="630" t="s">
        <v>680</v>
      </c>
      <c r="B49" s="631">
        <f>'Payment T&amp;T LAWSON'!I38+'Payment T&amp;T LAWSON'!J38</f>
        <v>315730.84000000003</v>
      </c>
      <c r="C49" s="631">
        <f>'Payment T&amp;T LAWSON'!K38</f>
        <v>3740.8</v>
      </c>
      <c r="D49" s="631">
        <f t="shared" si="0"/>
        <v>319471.64</v>
      </c>
      <c r="E49" s="644" t="s">
        <v>1</v>
      </c>
      <c r="F49" s="648"/>
      <c r="G49" s="650"/>
      <c r="H49" s="653"/>
      <c r="I49" s="648"/>
    </row>
    <row r="50" spans="1:9" x14ac:dyDescent="0.25">
      <c r="A50" s="630" t="s">
        <v>117</v>
      </c>
      <c r="B50" s="631">
        <v>0</v>
      </c>
      <c r="C50" s="631">
        <f>'Payment T&amp;T LAWSON'!K39</f>
        <v>21552.6</v>
      </c>
      <c r="D50" s="631">
        <f t="shared" si="0"/>
        <v>21552.6</v>
      </c>
      <c r="E50" s="644"/>
      <c r="F50" s="648"/>
      <c r="G50" s="648"/>
    </row>
    <row r="51" spans="1:9" x14ac:dyDescent="0.25">
      <c r="A51" s="630" t="s">
        <v>88</v>
      </c>
      <c r="B51" s="631">
        <f>'Payment T&amp;T LAWSON'!I40</f>
        <v>14905.48</v>
      </c>
      <c r="C51" s="631">
        <f>'Payment T&amp;T LAWSON'!K40</f>
        <v>0</v>
      </c>
      <c r="D51" s="631">
        <f t="shared" si="0"/>
        <v>14905.48</v>
      </c>
      <c r="E51" s="644"/>
      <c r="F51" s="648"/>
      <c r="G51" s="648"/>
    </row>
    <row r="52" spans="1:9" x14ac:dyDescent="0.25">
      <c r="A52" s="630" t="s">
        <v>93</v>
      </c>
      <c r="B52" s="631">
        <f>'Payment T&amp;T LAWSON'!I41</f>
        <v>855821.26</v>
      </c>
      <c r="C52" s="631">
        <f>'Payment T&amp;T LAWSON'!K41</f>
        <v>0</v>
      </c>
      <c r="D52" s="631">
        <f t="shared" si="0"/>
        <v>855821.26</v>
      </c>
      <c r="E52" s="644" t="s">
        <v>1</v>
      </c>
      <c r="F52" s="648"/>
      <c r="G52" s="648"/>
    </row>
    <row r="53" spans="1:9" x14ac:dyDescent="0.25">
      <c r="A53" s="630" t="s">
        <v>681</v>
      </c>
      <c r="B53" s="631">
        <f>'Payment T&amp;T LAWSON'!I42</f>
        <v>36021.71</v>
      </c>
      <c r="C53" s="631">
        <f>'Payment T&amp;T LAWSON'!K42</f>
        <v>1477.5</v>
      </c>
      <c r="D53" s="631">
        <f t="shared" si="0"/>
        <v>37499.21</v>
      </c>
      <c r="E53" s="644" t="s">
        <v>1</v>
      </c>
      <c r="F53" s="648"/>
      <c r="G53" s="648"/>
    </row>
    <row r="54" spans="1:9" x14ac:dyDescent="0.25">
      <c r="A54" s="630" t="s">
        <v>116</v>
      </c>
      <c r="B54" s="631">
        <f>'Payment T&amp;T LAWSON'!I43</f>
        <v>154644.39000000001</v>
      </c>
      <c r="C54" s="631">
        <f>'Payment T&amp;T LAWSON'!K43</f>
        <v>19248</v>
      </c>
      <c r="D54" s="631">
        <f t="shared" si="0"/>
        <v>173892.39</v>
      </c>
      <c r="E54" s="644" t="s">
        <v>1</v>
      </c>
      <c r="F54" s="648"/>
      <c r="G54" s="648"/>
    </row>
    <row r="55" spans="1:9" x14ac:dyDescent="0.25">
      <c r="A55" s="630" t="s">
        <v>94</v>
      </c>
      <c r="B55" s="631">
        <v>0</v>
      </c>
      <c r="C55" s="631">
        <f>'Payment T&amp;T LAWSON'!K44</f>
        <v>5960.75</v>
      </c>
      <c r="D55" s="631">
        <f t="shared" si="0"/>
        <v>5960.75</v>
      </c>
      <c r="E55" s="644" t="s">
        <v>1</v>
      </c>
      <c r="F55" s="648"/>
      <c r="G55" s="648"/>
    </row>
    <row r="56" spans="1:9" x14ac:dyDescent="0.25">
      <c r="A56" s="630" t="s">
        <v>159</v>
      </c>
      <c r="B56" s="631">
        <v>0</v>
      </c>
      <c r="C56" s="631">
        <f>'Payment T&amp;T LAWSON'!K45</f>
        <v>30823.5</v>
      </c>
      <c r="D56" s="631">
        <f t="shared" si="0"/>
        <v>30823.5</v>
      </c>
      <c r="E56" s="644" t="s">
        <v>1</v>
      </c>
      <c r="F56" s="648"/>
      <c r="G56" s="648"/>
    </row>
    <row r="57" spans="1:9" x14ac:dyDescent="0.25">
      <c r="A57" s="630" t="s">
        <v>95</v>
      </c>
      <c r="B57" s="631">
        <f>'Payment T&amp;T LAWSON'!I46</f>
        <v>50927.01</v>
      </c>
      <c r="C57" s="631">
        <f>'Payment T&amp;T LAWSON'!K46</f>
        <v>8125.5</v>
      </c>
      <c r="D57" s="631">
        <f t="shared" si="0"/>
        <v>59052.51</v>
      </c>
      <c r="E57" s="644" t="s">
        <v>1</v>
      </c>
      <c r="F57" s="648"/>
      <c r="G57" s="648"/>
    </row>
    <row r="58" spans="1:9" x14ac:dyDescent="0.25">
      <c r="A58" s="630" t="s">
        <v>110</v>
      </c>
      <c r="B58" s="631">
        <v>0</v>
      </c>
      <c r="C58" s="631">
        <f>'Payment T&amp;T LAWSON'!K47</f>
        <v>8437.1</v>
      </c>
      <c r="D58" s="631">
        <f t="shared" si="0"/>
        <v>8437.1</v>
      </c>
      <c r="E58" s="644" t="s">
        <v>1</v>
      </c>
      <c r="F58" s="629"/>
      <c r="G58" s="629"/>
    </row>
    <row r="59" spans="1:9" x14ac:dyDescent="0.25">
      <c r="A59" s="630" t="s">
        <v>682</v>
      </c>
      <c r="B59" s="631">
        <v>0</v>
      </c>
      <c r="C59" s="631">
        <f>'Payment T&amp;T LAWSON'!K48</f>
        <v>1808</v>
      </c>
      <c r="D59" s="631">
        <f t="shared" si="0"/>
        <v>1808</v>
      </c>
      <c r="E59" s="644" t="s">
        <v>1</v>
      </c>
      <c r="F59" s="629"/>
      <c r="G59" s="629"/>
    </row>
    <row r="60" spans="1:9" x14ac:dyDescent="0.25">
      <c r="A60" s="630" t="s">
        <v>131</v>
      </c>
      <c r="B60" s="631">
        <v>0</v>
      </c>
      <c r="C60" s="631">
        <f>'Payment T&amp;T LAWSON'!K49</f>
        <v>2998.8</v>
      </c>
      <c r="D60" s="631">
        <f t="shared" si="0"/>
        <v>2998.8</v>
      </c>
      <c r="E60" s="644" t="s">
        <v>1</v>
      </c>
      <c r="F60" s="629"/>
      <c r="G60" s="629"/>
    </row>
    <row r="61" spans="1:9" x14ac:dyDescent="0.25">
      <c r="A61" s="630" t="s">
        <v>118</v>
      </c>
      <c r="B61" s="631">
        <f>'Payment T&amp;T LAWSON'!I50</f>
        <v>190044.73</v>
      </c>
      <c r="C61" s="631">
        <f>'Payment T&amp;T LAWSON'!K50</f>
        <v>2907.5</v>
      </c>
      <c r="D61" s="631">
        <f t="shared" si="0"/>
        <v>192952.23</v>
      </c>
      <c r="E61" s="644" t="s">
        <v>1</v>
      </c>
      <c r="F61" s="629"/>
      <c r="G61" s="629"/>
    </row>
    <row r="62" spans="1:9" x14ac:dyDescent="0.25">
      <c r="A62" s="630" t="s">
        <v>683</v>
      </c>
      <c r="B62" s="631">
        <v>0</v>
      </c>
      <c r="C62" s="631">
        <f>'Payment T&amp;T LAWSON'!K51</f>
        <v>6088.2</v>
      </c>
      <c r="D62" s="631">
        <f t="shared" si="0"/>
        <v>6088.2</v>
      </c>
      <c r="E62" s="644"/>
      <c r="F62" s="629"/>
      <c r="G62" s="629"/>
    </row>
    <row r="63" spans="1:9" x14ac:dyDescent="0.25">
      <c r="A63" s="630" t="s">
        <v>114</v>
      </c>
      <c r="B63" s="631">
        <v>0</v>
      </c>
      <c r="C63" s="631">
        <f>'Payment T&amp;T LAWSON'!K52</f>
        <v>9203.2000000000007</v>
      </c>
      <c r="D63" s="631">
        <f t="shared" si="0"/>
        <v>9203.2000000000007</v>
      </c>
      <c r="E63" s="644"/>
      <c r="F63" s="629"/>
      <c r="G63" s="629"/>
    </row>
    <row r="64" spans="1:9" x14ac:dyDescent="0.25">
      <c r="A64" s="630" t="s">
        <v>102</v>
      </c>
      <c r="B64" s="631">
        <f>'Payment T&amp;T LAWSON'!I53</f>
        <v>68937.86</v>
      </c>
      <c r="C64" s="631">
        <f>'Payment T&amp;T LAWSON'!K53</f>
        <v>1195</v>
      </c>
      <c r="D64" s="631">
        <f t="shared" si="0"/>
        <v>70132.86</v>
      </c>
      <c r="E64" s="644"/>
      <c r="F64" s="629"/>
      <c r="G64" s="629"/>
    </row>
    <row r="65" spans="1:7" x14ac:dyDescent="0.25">
      <c r="A65" s="630" t="s">
        <v>81</v>
      </c>
      <c r="B65" s="631">
        <v>0</v>
      </c>
      <c r="C65" s="631">
        <f>'Payment T&amp;T LAWSON'!K54</f>
        <v>7413.2</v>
      </c>
      <c r="D65" s="631">
        <f t="shared" si="0"/>
        <v>7413.2</v>
      </c>
      <c r="E65" s="644"/>
      <c r="F65" s="629"/>
      <c r="G65" s="629"/>
    </row>
    <row r="66" spans="1:7" x14ac:dyDescent="0.25">
      <c r="A66" s="630" t="s">
        <v>684</v>
      </c>
      <c r="B66" s="631">
        <v>0</v>
      </c>
      <c r="C66" s="631">
        <f>'Payment T&amp;T LAWSON'!K56</f>
        <v>1965.6</v>
      </c>
      <c r="D66" s="631">
        <f t="shared" si="0"/>
        <v>1965.6</v>
      </c>
      <c r="E66" s="644"/>
    </row>
    <row r="67" spans="1:7" x14ac:dyDescent="0.25">
      <c r="A67" s="630" t="s">
        <v>108</v>
      </c>
      <c r="B67" s="631">
        <v>0</v>
      </c>
      <c r="C67" s="631">
        <f>'Payment T&amp;T LAWSON'!K57</f>
        <v>10166.4</v>
      </c>
      <c r="D67" s="631">
        <f t="shared" si="0"/>
        <v>10166.4</v>
      </c>
      <c r="E67" s="644"/>
    </row>
    <row r="68" spans="1:7" x14ac:dyDescent="0.25">
      <c r="A68" s="630" t="s">
        <v>321</v>
      </c>
      <c r="B68" s="631"/>
      <c r="C68" s="631">
        <f>'Payment T&amp;T LAWSON'!K58</f>
        <v>18035.400000000001</v>
      </c>
      <c r="D68" s="631">
        <f t="shared" si="0"/>
        <v>18035.400000000001</v>
      </c>
      <c r="E68" s="644"/>
    </row>
    <row r="69" spans="1:7" x14ac:dyDescent="0.25">
      <c r="A69" s="630" t="s">
        <v>685</v>
      </c>
      <c r="B69" s="631">
        <f>'Payment T&amp;T LAWSON'!I59</f>
        <v>3726.37</v>
      </c>
      <c r="C69" s="631">
        <f>'Payment T&amp;T LAWSON'!K59</f>
        <v>0</v>
      </c>
      <c r="D69" s="631">
        <f t="shared" si="0"/>
        <v>3726.37</v>
      </c>
      <c r="E69" s="644"/>
    </row>
    <row r="70" spans="1:7" x14ac:dyDescent="0.25">
      <c r="A70" s="630" t="s">
        <v>142</v>
      </c>
      <c r="B70" s="631">
        <f>'Payment T&amp;T LAWSON'!I60</f>
        <v>11179.11</v>
      </c>
      <c r="C70" s="631">
        <f>'Payment T&amp;T LAWSON'!K60</f>
        <v>0</v>
      </c>
      <c r="D70" s="631">
        <f t="shared" si="0"/>
        <v>11179.11</v>
      </c>
      <c r="E70" s="644"/>
    </row>
    <row r="71" spans="1:7" s="864" customFormat="1" x14ac:dyDescent="0.25">
      <c r="A71" s="630" t="s">
        <v>694</v>
      </c>
      <c r="B71" s="631">
        <f>'Payment T&amp;T LAWSON'!I61</f>
        <v>334131.38</v>
      </c>
      <c r="C71" s="631">
        <f>'Payment T&amp;T LAWSON'!K61</f>
        <v>3405</v>
      </c>
      <c r="D71" s="631">
        <f t="shared" si="0"/>
        <v>337536.38</v>
      </c>
      <c r="E71" s="642" t="s">
        <v>1</v>
      </c>
    </row>
    <row r="72" spans="1:7" x14ac:dyDescent="0.25">
      <c r="A72" s="630" t="s">
        <v>99</v>
      </c>
      <c r="B72" s="631">
        <f>'Payment T&amp;T LAWSON'!I62</f>
        <v>3726.37</v>
      </c>
      <c r="C72" s="631">
        <f>'Payment T&amp;T LAWSON'!K62</f>
        <v>0</v>
      </c>
      <c r="D72" s="631">
        <f t="shared" si="0"/>
        <v>3726.37</v>
      </c>
      <c r="E72" s="644"/>
    </row>
    <row r="73" spans="1:7" x14ac:dyDescent="0.25">
      <c r="A73" s="630" t="s">
        <v>100</v>
      </c>
      <c r="B73" s="631">
        <v>0</v>
      </c>
      <c r="C73" s="631">
        <f>'Payment T&amp;T LAWSON'!K63</f>
        <v>8017.5</v>
      </c>
      <c r="D73" s="631">
        <f t="shared" si="0"/>
        <v>8017.5</v>
      </c>
      <c r="E73" s="644"/>
    </row>
    <row r="74" spans="1:7" x14ac:dyDescent="0.25">
      <c r="A74" s="630" t="s">
        <v>493</v>
      </c>
      <c r="B74" s="631">
        <v>0</v>
      </c>
      <c r="C74" s="631">
        <f>'Payment T&amp;T LAWSON'!K64</f>
        <v>258</v>
      </c>
      <c r="D74" s="631">
        <f t="shared" si="0"/>
        <v>258</v>
      </c>
      <c r="E74" s="644"/>
    </row>
    <row r="75" spans="1:7" x14ac:dyDescent="0.25">
      <c r="A75" s="630" t="s">
        <v>70</v>
      </c>
      <c r="B75" s="631">
        <v>0</v>
      </c>
      <c r="C75" s="631">
        <f>'Payment T&amp;T LAWSON'!K65</f>
        <v>6159.6</v>
      </c>
      <c r="D75" s="631">
        <f t="shared" si="0"/>
        <v>6159.6</v>
      </c>
      <c r="E75" s="644"/>
    </row>
    <row r="76" spans="1:7" s="864" customFormat="1" x14ac:dyDescent="0.25">
      <c r="A76" s="630" t="s">
        <v>695</v>
      </c>
      <c r="B76" s="631">
        <v>0</v>
      </c>
      <c r="C76" s="631">
        <f>'Payment T&amp;T LAWSON'!K66</f>
        <v>14983.2</v>
      </c>
      <c r="D76" s="631">
        <f t="shared" si="0"/>
        <v>14983.2</v>
      </c>
      <c r="E76" s="634"/>
    </row>
    <row r="77" spans="1:7" x14ac:dyDescent="0.25">
      <c r="A77" s="630" t="s">
        <v>115</v>
      </c>
      <c r="B77" s="631">
        <v>0</v>
      </c>
      <c r="C77" s="631">
        <f>'Payment T&amp;T LAWSON'!K67</f>
        <v>16965.099999999999</v>
      </c>
      <c r="D77" s="631">
        <f t="shared" si="0"/>
        <v>16965.099999999999</v>
      </c>
      <c r="E77" s="644"/>
    </row>
    <row r="78" spans="1:7" x14ac:dyDescent="0.25">
      <c r="A78" s="630" t="s">
        <v>686</v>
      </c>
      <c r="B78" s="631">
        <f>'Payment T&amp;T LAWSON'!I68</f>
        <v>18631.849999999999</v>
      </c>
      <c r="C78" s="631">
        <f>'Payment T&amp;T LAWSON'!K68</f>
        <v>1918.2</v>
      </c>
      <c r="D78" s="631">
        <f t="shared" si="0"/>
        <v>20550.05</v>
      </c>
      <c r="E78" s="644"/>
    </row>
    <row r="79" spans="1:7" x14ac:dyDescent="0.25">
      <c r="A79" s="630" t="s">
        <v>72</v>
      </c>
      <c r="B79" s="631">
        <f>'Payment T&amp;T LAWSON'!I69</f>
        <v>96885.83</v>
      </c>
      <c r="C79" s="631">
        <f>'Payment T&amp;T LAWSON'!K69</f>
        <v>4046.4</v>
      </c>
      <c r="D79" s="631">
        <f t="shared" si="0"/>
        <v>100932.23</v>
      </c>
      <c r="E79" s="644"/>
    </row>
    <row r="80" spans="1:7" x14ac:dyDescent="0.25">
      <c r="A80" s="630" t="s">
        <v>73</v>
      </c>
      <c r="B80" s="631">
        <f>'Payment T&amp;T LAWSON'!I71</f>
        <v>657704.28</v>
      </c>
      <c r="C80" s="631">
        <f>'Payment T&amp;T LAWSON'!K71</f>
        <v>1690</v>
      </c>
      <c r="D80" s="631">
        <f t="shared" ref="D80:D95" si="1">B80+C80</f>
        <v>659394.28</v>
      </c>
      <c r="E80" s="644"/>
    </row>
    <row r="81" spans="1:5" x14ac:dyDescent="0.25">
      <c r="A81" s="630" t="s">
        <v>687</v>
      </c>
      <c r="B81" s="631">
        <v>0</v>
      </c>
      <c r="C81" s="631">
        <f>'Payment T&amp;T LAWSON'!K72</f>
        <v>11328.4</v>
      </c>
      <c r="D81" s="631">
        <f t="shared" si="1"/>
        <v>11328.4</v>
      </c>
      <c r="E81" s="645" t="s">
        <v>1</v>
      </c>
    </row>
    <row r="82" spans="1:5" x14ac:dyDescent="0.25">
      <c r="A82" s="630" t="s">
        <v>123</v>
      </c>
      <c r="B82" s="631">
        <v>0</v>
      </c>
      <c r="C82" s="631">
        <f>'Payment T&amp;T LAWSON'!K73</f>
        <v>9814.7000000000007</v>
      </c>
      <c r="D82" s="631">
        <f t="shared" si="1"/>
        <v>9814.7000000000007</v>
      </c>
      <c r="E82" s="642"/>
    </row>
    <row r="83" spans="1:5" x14ac:dyDescent="0.25">
      <c r="A83" s="630" t="s">
        <v>74</v>
      </c>
      <c r="B83" s="631">
        <f>'Payment T&amp;T LAWSON'!I74</f>
        <v>91296.09</v>
      </c>
      <c r="C83" s="631">
        <f>'Payment T&amp;T LAWSON'!K74</f>
        <v>1879</v>
      </c>
      <c r="D83" s="631">
        <f t="shared" si="1"/>
        <v>93175.09</v>
      </c>
      <c r="E83" s="642"/>
    </row>
    <row r="84" spans="1:5" x14ac:dyDescent="0.25">
      <c r="A84" s="630" t="s">
        <v>688</v>
      </c>
      <c r="B84" s="631">
        <v>0</v>
      </c>
      <c r="C84" s="631">
        <f>'Payment T&amp;T LAWSON'!K75</f>
        <v>2650.6</v>
      </c>
      <c r="D84" s="631">
        <f t="shared" si="1"/>
        <v>2650.6</v>
      </c>
      <c r="E84" s="642"/>
    </row>
    <row r="85" spans="1:5" x14ac:dyDescent="0.25">
      <c r="A85" s="630" t="s">
        <v>235</v>
      </c>
      <c r="B85" s="631">
        <v>0</v>
      </c>
      <c r="C85" s="631">
        <f>'Payment T&amp;T LAWSON'!K76</f>
        <v>0</v>
      </c>
      <c r="D85" s="631">
        <f t="shared" si="1"/>
        <v>0</v>
      </c>
      <c r="E85" s="642"/>
    </row>
    <row r="86" spans="1:5" s="864" customFormat="1" x14ac:dyDescent="0.25">
      <c r="A86" s="630" t="s">
        <v>154</v>
      </c>
      <c r="B86" s="631">
        <f>'Payment T&amp;T LAWSON'!I77</f>
        <v>3726.37</v>
      </c>
      <c r="C86" s="631">
        <f>'Payment T&amp;T LAWSON'!K77</f>
        <v>155.69999999999999</v>
      </c>
      <c r="D86" s="631">
        <f>B86+C86</f>
        <v>3882.07</v>
      </c>
      <c r="E86" s="642"/>
    </row>
    <row r="87" spans="1:5" s="864" customFormat="1" x14ac:dyDescent="0.25">
      <c r="A87" s="630" t="s">
        <v>871</v>
      </c>
      <c r="B87" s="631">
        <f>'Payment T&amp;T LAWSON'!I78</f>
        <v>0</v>
      </c>
      <c r="C87" s="631">
        <f>'Payment T&amp;T LAWSON'!K78</f>
        <v>570</v>
      </c>
      <c r="D87" s="631">
        <f t="shared" si="1"/>
        <v>570</v>
      </c>
      <c r="E87" s="642"/>
    </row>
    <row r="88" spans="1:5" x14ac:dyDescent="0.25">
      <c r="A88" s="630" t="s">
        <v>105</v>
      </c>
      <c r="B88" s="631">
        <v>0</v>
      </c>
      <c r="C88" s="631">
        <f>'Payment T&amp;T LAWSON'!K79</f>
        <v>1153.2</v>
      </c>
      <c r="D88" s="631">
        <f t="shared" si="1"/>
        <v>1153.2</v>
      </c>
      <c r="E88" s="642"/>
    </row>
    <row r="89" spans="1:5" x14ac:dyDescent="0.25">
      <c r="A89" s="630" t="s">
        <v>689</v>
      </c>
      <c r="B89" s="631">
        <v>0</v>
      </c>
      <c r="C89" s="631">
        <f>'Payment T&amp;T LAWSON'!K80</f>
        <v>20433.599999999999</v>
      </c>
      <c r="D89" s="631">
        <f t="shared" si="1"/>
        <v>20433.599999999999</v>
      </c>
      <c r="E89" s="642"/>
    </row>
    <row r="90" spans="1:5" x14ac:dyDescent="0.25">
      <c r="A90" s="630" t="s">
        <v>98</v>
      </c>
      <c r="B90" s="631">
        <f>'Payment T&amp;T LAWSON'!I81</f>
        <v>0</v>
      </c>
      <c r="C90" s="631">
        <f>'Payment T&amp;T LAWSON'!K81</f>
        <v>0</v>
      </c>
      <c r="D90" s="631">
        <f t="shared" si="1"/>
        <v>0</v>
      </c>
      <c r="E90" s="642"/>
    </row>
    <row r="91" spans="1:5" x14ac:dyDescent="0.25">
      <c r="A91" s="630" t="s">
        <v>690</v>
      </c>
      <c r="B91" s="631">
        <f>'Payment T&amp;T LAWSON'!I83+'Payment T&amp;T LAWSON'!J83</f>
        <v>93522.5</v>
      </c>
      <c r="C91" s="631">
        <f>'Payment T&amp;T LAWSON'!K83</f>
        <v>10568.6</v>
      </c>
      <c r="D91" s="631">
        <f t="shared" si="1"/>
        <v>104091.1</v>
      </c>
      <c r="E91" s="642"/>
    </row>
    <row r="92" spans="1:5" x14ac:dyDescent="0.25">
      <c r="A92" s="630" t="s">
        <v>691</v>
      </c>
      <c r="B92" s="631">
        <v>0</v>
      </c>
      <c r="C92" s="631">
        <f>'Payment T&amp;T LAWSON'!K84</f>
        <v>1042.5</v>
      </c>
      <c r="D92" s="631">
        <f t="shared" si="1"/>
        <v>1042.5</v>
      </c>
      <c r="E92" s="642"/>
    </row>
    <row r="93" spans="1:5" x14ac:dyDescent="0.25">
      <c r="A93" s="630" t="s">
        <v>112</v>
      </c>
      <c r="B93" s="631">
        <v>0</v>
      </c>
      <c r="C93" s="631">
        <f>'Payment T&amp;T LAWSON'!K85</f>
        <v>18039.400000000001</v>
      </c>
      <c r="D93" s="631">
        <f t="shared" si="1"/>
        <v>18039.400000000001</v>
      </c>
      <c r="E93" s="642"/>
    </row>
    <row r="94" spans="1:5" x14ac:dyDescent="0.25">
      <c r="A94" s="630" t="s">
        <v>692</v>
      </c>
      <c r="B94" s="631">
        <v>0</v>
      </c>
      <c r="C94" s="631">
        <f>'Payment T&amp;T LAWSON'!K86</f>
        <v>12234.6</v>
      </c>
      <c r="D94" s="631">
        <f t="shared" si="1"/>
        <v>12234.6</v>
      </c>
      <c r="E94" s="642"/>
    </row>
    <row r="95" spans="1:5" x14ac:dyDescent="0.25">
      <c r="A95" s="630" t="s">
        <v>693</v>
      </c>
      <c r="B95" s="631">
        <f>'Payment T&amp;T LAWSON'!I87</f>
        <v>42853.279999999999</v>
      </c>
      <c r="C95" s="631">
        <f>'Payment T&amp;T LAWSON'!K87</f>
        <v>15889</v>
      </c>
      <c r="D95" s="631">
        <f t="shared" si="1"/>
        <v>58742.28</v>
      </c>
      <c r="E95" s="642"/>
    </row>
    <row r="96" spans="1:5" x14ac:dyDescent="0.25">
      <c r="A96" s="630"/>
      <c r="B96" s="631" t="s">
        <v>1</v>
      </c>
      <c r="C96" s="631"/>
      <c r="D96" s="631"/>
      <c r="E96" s="634"/>
    </row>
    <row r="97" spans="1:5" x14ac:dyDescent="0.25">
      <c r="A97" s="646"/>
      <c r="B97" s="631"/>
      <c r="C97" s="631" t="s">
        <v>1</v>
      </c>
      <c r="D97" s="631"/>
      <c r="E97" s="634"/>
    </row>
    <row r="98" spans="1:5" x14ac:dyDescent="0.25">
      <c r="A98" s="1110" t="s">
        <v>696</v>
      </c>
      <c r="B98" s="1110"/>
      <c r="C98" s="632" t="s">
        <v>1</v>
      </c>
      <c r="D98" s="633"/>
      <c r="E98" s="633"/>
    </row>
    <row r="99" spans="1:5" x14ac:dyDescent="0.25">
      <c r="A99" s="633"/>
      <c r="B99" s="633"/>
      <c r="C99" s="633"/>
      <c r="D99" s="633"/>
      <c r="E99" s="633"/>
    </row>
    <row r="100" spans="1:5" x14ac:dyDescent="0.25">
      <c r="A100" s="630" t="s">
        <v>79</v>
      </c>
      <c r="B100" s="631">
        <v>0</v>
      </c>
      <c r="C100" s="631">
        <f>'TT entry &amp; transportation'!P232</f>
        <v>0</v>
      </c>
      <c r="D100" s="631">
        <f t="shared" ref="D100:D110" si="2">B100+C100</f>
        <v>0</v>
      </c>
      <c r="E100" s="634"/>
    </row>
    <row r="101" spans="1:5" x14ac:dyDescent="0.25">
      <c r="A101" s="630" t="s">
        <v>82</v>
      </c>
      <c r="B101" s="631">
        <v>0</v>
      </c>
      <c r="C101" s="631">
        <v>0</v>
      </c>
      <c r="D101" s="631">
        <f t="shared" si="2"/>
        <v>0</v>
      </c>
      <c r="E101" s="634"/>
    </row>
    <row r="102" spans="1:5" x14ac:dyDescent="0.25">
      <c r="A102" s="630" t="s">
        <v>124</v>
      </c>
      <c r="B102" s="631">
        <v>0</v>
      </c>
      <c r="C102" s="631">
        <v>0</v>
      </c>
      <c r="D102" s="631">
        <f t="shared" si="2"/>
        <v>0</v>
      </c>
      <c r="E102" s="634"/>
    </row>
    <row r="103" spans="1:5" x14ac:dyDescent="0.25">
      <c r="A103" s="630" t="s">
        <v>83</v>
      </c>
      <c r="B103" s="631">
        <v>0</v>
      </c>
      <c r="C103" s="631">
        <f>'TT entry &amp; transportation'!P234</f>
        <v>0</v>
      </c>
      <c r="D103" s="631">
        <f t="shared" si="2"/>
        <v>0</v>
      </c>
      <c r="E103" s="634"/>
    </row>
    <row r="104" spans="1:5" x14ac:dyDescent="0.25">
      <c r="A104" s="630" t="s">
        <v>92</v>
      </c>
      <c r="B104" s="631">
        <f>'Payment T&amp;T LAWSON'!L37</f>
        <v>0</v>
      </c>
      <c r="C104" s="631">
        <v>0</v>
      </c>
      <c r="D104" s="631">
        <f t="shared" si="2"/>
        <v>0</v>
      </c>
      <c r="E104" s="634"/>
    </row>
    <row r="105" spans="1:5" x14ac:dyDescent="0.25">
      <c r="A105" s="630" t="s">
        <v>117</v>
      </c>
      <c r="B105" s="631">
        <f>'Payment T&amp;T LAWSON'!L39</f>
        <v>6937.5</v>
      </c>
      <c r="C105" s="631">
        <v>0</v>
      </c>
      <c r="D105" s="631">
        <f t="shared" si="2"/>
        <v>6937.5</v>
      </c>
      <c r="E105" s="634"/>
    </row>
    <row r="106" spans="1:5" x14ac:dyDescent="0.25">
      <c r="A106" s="630" t="s">
        <v>133</v>
      </c>
      <c r="B106" s="631">
        <f>'Payment T&amp;T LAWSON'!L33</f>
        <v>0</v>
      </c>
      <c r="C106" s="631">
        <v>0</v>
      </c>
      <c r="D106" s="631">
        <f t="shared" si="2"/>
        <v>0</v>
      </c>
      <c r="E106" s="634"/>
    </row>
    <row r="107" spans="1:5" x14ac:dyDescent="0.25">
      <c r="A107" s="630" t="s">
        <v>118</v>
      </c>
      <c r="B107" s="631">
        <f>'Payment T&amp;T LAWSON'!L50</f>
        <v>0</v>
      </c>
      <c r="C107" s="631">
        <v>0</v>
      </c>
      <c r="D107" s="631">
        <f t="shared" si="2"/>
        <v>0</v>
      </c>
      <c r="E107" s="634"/>
    </row>
    <row r="108" spans="1:5" x14ac:dyDescent="0.25">
      <c r="A108" s="630" t="s">
        <v>694</v>
      </c>
      <c r="B108" s="631">
        <f>'Payment T&amp;T LAWSON'!L61</f>
        <v>6292.5</v>
      </c>
      <c r="C108" s="631">
        <v>0</v>
      </c>
      <c r="D108" s="631">
        <f t="shared" si="2"/>
        <v>6292.5</v>
      </c>
      <c r="E108" s="634"/>
    </row>
    <row r="109" spans="1:5" x14ac:dyDescent="0.25">
      <c r="A109" s="630" t="s">
        <v>123</v>
      </c>
      <c r="B109" s="631">
        <v>0</v>
      </c>
      <c r="C109" s="631">
        <f>'TT entry &amp; transportation'!P231</f>
        <v>0</v>
      </c>
      <c r="D109" s="631">
        <f t="shared" si="2"/>
        <v>0</v>
      </c>
      <c r="E109" s="634"/>
    </row>
    <row r="110" spans="1:5" x14ac:dyDescent="0.25">
      <c r="A110" s="630" t="s">
        <v>693</v>
      </c>
      <c r="B110" s="631">
        <v>0</v>
      </c>
      <c r="C110" s="631">
        <v>0</v>
      </c>
      <c r="D110" s="631">
        <f t="shared" si="2"/>
        <v>0</v>
      </c>
      <c r="E110" s="634"/>
    </row>
    <row r="111" spans="1:5" x14ac:dyDescent="0.25">
      <c r="A111" s="630"/>
      <c r="B111" s="631" t="s">
        <v>1</v>
      </c>
      <c r="C111" s="631" t="s">
        <v>1</v>
      </c>
      <c r="D111" s="631" t="s">
        <v>1</v>
      </c>
      <c r="E111" s="634"/>
    </row>
    <row r="112" spans="1:5" x14ac:dyDescent="0.25">
      <c r="A112" s="630" t="s">
        <v>697</v>
      </c>
      <c r="B112" s="631"/>
      <c r="C112" s="631" t="s">
        <v>1</v>
      </c>
      <c r="D112" s="631" t="s">
        <v>1</v>
      </c>
      <c r="E112" s="634"/>
    </row>
    <row r="113" spans="1:5" x14ac:dyDescent="0.25">
      <c r="A113" s="646" t="s">
        <v>1</v>
      </c>
      <c r="B113" s="647" t="s">
        <v>1</v>
      </c>
      <c r="C113" s="647" t="s">
        <v>1</v>
      </c>
      <c r="D113" s="631" t="s">
        <v>1</v>
      </c>
      <c r="E113" s="644"/>
    </row>
    <row r="114" spans="1:5" x14ac:dyDescent="0.25">
      <c r="A114" s="1109" t="s">
        <v>698</v>
      </c>
      <c r="B114" s="1109"/>
      <c r="C114" s="1109"/>
      <c r="D114" s="1109"/>
      <c r="E114" s="1109"/>
    </row>
    <row r="116" spans="1:5" x14ac:dyDescent="0.25">
      <c r="B116" s="650" t="s">
        <v>1</v>
      </c>
      <c r="C116" s="650" t="s">
        <v>1</v>
      </c>
      <c r="D116" s="650" t="s">
        <v>1</v>
      </c>
    </row>
    <row r="117" spans="1:5" x14ac:dyDescent="0.25">
      <c r="B117" s="650" t="s">
        <v>1</v>
      </c>
      <c r="C117" s="648"/>
      <c r="D117" s="650" t="s">
        <v>1</v>
      </c>
    </row>
    <row r="118" spans="1:5" x14ac:dyDescent="0.25">
      <c r="B118" s="648"/>
      <c r="C118" s="648"/>
      <c r="D118" s="648"/>
    </row>
    <row r="119" spans="1:5" x14ac:dyDescent="0.25">
      <c r="B119" s="651" t="s">
        <v>1</v>
      </c>
      <c r="C119" s="629"/>
      <c r="D119" s="629"/>
    </row>
  </sheetData>
  <mergeCells count="8">
    <mergeCell ref="A114:E114"/>
    <mergeCell ref="A98:B98"/>
    <mergeCell ref="A2:D2"/>
    <mergeCell ref="A6:D6"/>
    <mergeCell ref="A8:D8"/>
    <mergeCell ref="A3:D3"/>
    <mergeCell ref="A4:D4"/>
    <mergeCell ref="A7:D7"/>
  </mergeCells>
  <pageMargins left="0.7" right="0.7" top="0.75" bottom="0.75" header="0.3" footer="0.3"/>
  <pageSetup scale="98" orientation="portrait" r:id="rId1"/>
  <rowBreaks count="2" manualBreakCount="2">
    <brk id="56" max="4" man="1"/>
    <brk id="114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T109"/>
  <sheetViews>
    <sheetView topLeftCell="P1" zoomScaleNormal="100" workbookViewId="0">
      <selection activeCell="R1" sqref="R1:R1048576"/>
    </sheetView>
  </sheetViews>
  <sheetFormatPr defaultColWidth="9.109375" defaultRowHeight="15.6" x14ac:dyDescent="0.3"/>
  <cols>
    <col min="1" max="1" width="20.33203125" style="694" customWidth="1"/>
    <col min="2" max="15" width="15" style="694" customWidth="1"/>
    <col min="16" max="17" width="15" style="729" customWidth="1"/>
    <col min="18" max="18" width="15" style="694" bestFit="1" customWidth="1"/>
    <col min="19" max="16384" width="9.109375" style="694"/>
  </cols>
  <sheetData>
    <row r="1" spans="1:20" s="690" customFormat="1" x14ac:dyDescent="0.3">
      <c r="A1" s="685" t="s">
        <v>729</v>
      </c>
      <c r="B1" s="685" t="s">
        <v>730</v>
      </c>
      <c r="C1" s="685" t="s">
        <v>731</v>
      </c>
      <c r="D1" s="685" t="s">
        <v>732</v>
      </c>
      <c r="E1" s="685" t="s">
        <v>733</v>
      </c>
      <c r="F1" s="685" t="s">
        <v>734</v>
      </c>
      <c r="G1" s="685" t="s">
        <v>735</v>
      </c>
      <c r="H1" s="685" t="s">
        <v>736</v>
      </c>
      <c r="I1" s="685" t="s">
        <v>737</v>
      </c>
      <c r="J1" s="685" t="s">
        <v>738</v>
      </c>
      <c r="K1" s="685" t="s">
        <v>739</v>
      </c>
      <c r="L1" s="685" t="s">
        <v>740</v>
      </c>
      <c r="M1" s="685" t="s">
        <v>741</v>
      </c>
      <c r="N1" s="685" t="s">
        <v>742</v>
      </c>
      <c r="O1" s="725" t="s">
        <v>762</v>
      </c>
      <c r="P1" s="725" t="s">
        <v>770</v>
      </c>
      <c r="Q1" s="725" t="s">
        <v>847</v>
      </c>
      <c r="R1" s="685" t="s">
        <v>884</v>
      </c>
      <c r="S1" s="686"/>
      <c r="T1" s="686"/>
    </row>
    <row r="2" spans="1:20" x14ac:dyDescent="0.3">
      <c r="A2" s="691" t="s">
        <v>743</v>
      </c>
      <c r="B2" s="692">
        <v>5832454</v>
      </c>
      <c r="C2" s="692">
        <v>5680352</v>
      </c>
      <c r="D2" s="692">
        <v>6552172</v>
      </c>
      <c r="E2" s="692">
        <v>7302772</v>
      </c>
      <c r="F2" s="692">
        <v>7423195</v>
      </c>
      <c r="G2" s="692">
        <v>8357528</v>
      </c>
      <c r="H2" s="692">
        <v>9164457</v>
      </c>
      <c r="I2" s="693">
        <v>8646575.5999999996</v>
      </c>
      <c r="J2" s="691" t="s">
        <v>744</v>
      </c>
      <c r="K2" s="691" t="s">
        <v>744</v>
      </c>
      <c r="L2" s="691" t="s">
        <v>744</v>
      </c>
      <c r="M2" s="691" t="s">
        <v>744</v>
      </c>
      <c r="N2" s="691" t="s">
        <v>744</v>
      </c>
      <c r="O2" s="727" t="s">
        <v>744</v>
      </c>
      <c r="P2" s="727" t="s">
        <v>744</v>
      </c>
      <c r="Q2" s="727" t="s">
        <v>744</v>
      </c>
      <c r="R2" s="691" t="s">
        <v>744</v>
      </c>
    </row>
    <row r="3" spans="1:20" ht="17.399999999999999" x14ac:dyDescent="0.3">
      <c r="A3" s="874" t="s">
        <v>827</v>
      </c>
      <c r="B3" s="695">
        <v>0.87829999999999997</v>
      </c>
      <c r="C3" s="695">
        <v>0.90180000000000005</v>
      </c>
      <c r="D3" s="695">
        <v>1</v>
      </c>
      <c r="E3" s="695">
        <v>1</v>
      </c>
      <c r="F3" s="695">
        <v>1</v>
      </c>
      <c r="G3" s="695">
        <v>0.83169999999999999</v>
      </c>
      <c r="H3" s="695">
        <v>0.75290000000000001</v>
      </c>
      <c r="I3" s="695">
        <v>0.79610000000000003</v>
      </c>
      <c r="J3" s="691"/>
      <c r="K3" s="691" t="s">
        <v>1</v>
      </c>
      <c r="L3" s="691" t="s">
        <v>1</v>
      </c>
      <c r="M3" s="691" t="s">
        <v>1</v>
      </c>
      <c r="N3" s="691" t="s">
        <v>1</v>
      </c>
      <c r="O3" s="727" t="s">
        <v>1</v>
      </c>
      <c r="P3" s="727" t="s">
        <v>1</v>
      </c>
      <c r="Q3" s="727" t="s">
        <v>1</v>
      </c>
      <c r="R3" s="691" t="s">
        <v>1</v>
      </c>
    </row>
    <row r="4" spans="1:20" s="729" customFormat="1" x14ac:dyDescent="0.3">
      <c r="A4" s="875" t="s">
        <v>825</v>
      </c>
      <c r="B4" s="873" t="s">
        <v>826</v>
      </c>
      <c r="C4" s="873" t="s">
        <v>826</v>
      </c>
      <c r="D4" s="871">
        <v>2326</v>
      </c>
      <c r="E4" s="871">
        <v>2336.5</v>
      </c>
      <c r="F4" s="871">
        <v>2273</v>
      </c>
      <c r="G4" s="871">
        <v>2424.5</v>
      </c>
      <c r="H4" s="871">
        <v>2583</v>
      </c>
      <c r="I4" s="871">
        <v>2292.5</v>
      </c>
      <c r="J4" s="727">
        <v>2055.5000100000002</v>
      </c>
      <c r="K4" s="727">
        <v>2186.8373499999998</v>
      </c>
      <c r="L4" s="727">
        <v>2064.6750000000002</v>
      </c>
      <c r="M4" s="727">
        <v>2032.00415</v>
      </c>
      <c r="N4" s="727">
        <v>2024.1717000000001</v>
      </c>
      <c r="O4" s="727">
        <v>2022.8393000000001</v>
      </c>
      <c r="P4" s="727">
        <v>2327.6667499999999</v>
      </c>
      <c r="Q4" s="727">
        <v>2327.6667499999999</v>
      </c>
      <c r="R4" s="727"/>
    </row>
    <row r="5" spans="1:20" s="729" customFormat="1" ht="16.2" thickBot="1" x14ac:dyDescent="0.35">
      <c r="A5" s="872" t="s">
        <v>1</v>
      </c>
      <c r="B5" s="876"/>
      <c r="C5" s="872"/>
      <c r="D5" s="872"/>
      <c r="E5" s="872"/>
      <c r="F5" s="872"/>
      <c r="G5" s="1116" t="s">
        <v>722</v>
      </c>
      <c r="H5" s="1116"/>
      <c r="I5" s="1117"/>
      <c r="J5" s="706">
        <v>3224.38</v>
      </c>
      <c r="K5" s="706">
        <v>2887.2</v>
      </c>
      <c r="L5" s="706">
        <v>3214.46</v>
      </c>
      <c r="M5" s="706">
        <v>3276.09</v>
      </c>
      <c r="N5" s="706">
        <v>3346.67</v>
      </c>
      <c r="O5" s="706">
        <v>3282.18</v>
      </c>
      <c r="P5" s="706">
        <v>3617.31</v>
      </c>
      <c r="Q5" s="706">
        <v>3617.31</v>
      </c>
      <c r="R5" s="706"/>
    </row>
    <row r="6" spans="1:20" s="699" customFormat="1" ht="18" thickBot="1" x14ac:dyDescent="0.35">
      <c r="A6" s="687" t="s">
        <v>828</v>
      </c>
      <c r="B6" s="696">
        <v>5122634.22</v>
      </c>
      <c r="C6" s="696">
        <v>5122634.33</v>
      </c>
      <c r="D6" s="696">
        <v>6552172.2000000002</v>
      </c>
      <c r="E6" s="697">
        <v>7228712.3600000003</v>
      </c>
      <c r="F6" s="697">
        <v>7419843.1200000001</v>
      </c>
      <c r="G6" s="697">
        <v>6951047.5199999996</v>
      </c>
      <c r="H6" s="697">
        <v>6900000</v>
      </c>
      <c r="I6" s="697">
        <v>6900000</v>
      </c>
      <c r="J6" s="698">
        <v>7422619</v>
      </c>
      <c r="K6" s="698">
        <v>7027000</v>
      </c>
      <c r="L6" s="698">
        <v>7400000</v>
      </c>
      <c r="M6" s="698">
        <v>7400000</v>
      </c>
      <c r="N6" s="698">
        <v>7546000</v>
      </c>
      <c r="O6" s="730">
        <v>7400000</v>
      </c>
      <c r="P6" s="730">
        <v>9000000</v>
      </c>
      <c r="Q6" s="730">
        <v>9000000</v>
      </c>
      <c r="R6" s="698">
        <f>R102</f>
        <v>9000000</v>
      </c>
    </row>
    <row r="7" spans="1:20" x14ac:dyDescent="0.3">
      <c r="C7" s="694" t="s">
        <v>1</v>
      </c>
      <c r="D7" s="694" t="s">
        <v>1</v>
      </c>
      <c r="E7" s="694" t="s">
        <v>1</v>
      </c>
      <c r="F7" s="694" t="s">
        <v>1</v>
      </c>
      <c r="G7" s="694" t="s">
        <v>1</v>
      </c>
      <c r="H7" s="694" t="s">
        <v>1</v>
      </c>
      <c r="I7" s="694" t="s">
        <v>1</v>
      </c>
      <c r="J7" s="694" t="s">
        <v>1</v>
      </c>
      <c r="L7" s="694" t="s">
        <v>1</v>
      </c>
      <c r="M7" s="694" t="s">
        <v>1</v>
      </c>
      <c r="N7" s="694" t="s">
        <v>1</v>
      </c>
      <c r="O7" s="729" t="s">
        <v>1</v>
      </c>
      <c r="Q7" s="729" t="s">
        <v>1</v>
      </c>
      <c r="R7" s="694" t="s">
        <v>1</v>
      </c>
    </row>
    <row r="8" spans="1:20" x14ac:dyDescent="0.3">
      <c r="C8" s="694" t="s">
        <v>1</v>
      </c>
      <c r="D8" s="694" t="s">
        <v>1</v>
      </c>
      <c r="E8" s="694" t="s">
        <v>1</v>
      </c>
      <c r="F8" s="694" t="s">
        <v>1</v>
      </c>
      <c r="G8" s="694" t="s">
        <v>1</v>
      </c>
      <c r="H8" s="694" t="s">
        <v>1</v>
      </c>
      <c r="I8" s="694" t="s">
        <v>1</v>
      </c>
      <c r="J8" s="694" t="s">
        <v>1</v>
      </c>
      <c r="K8" s="694" t="s">
        <v>1</v>
      </c>
      <c r="L8" s="694" t="s">
        <v>1</v>
      </c>
      <c r="M8" s="694" t="s">
        <v>1</v>
      </c>
      <c r="N8" s="694" t="s">
        <v>1</v>
      </c>
      <c r="O8" s="729" t="s">
        <v>1</v>
      </c>
      <c r="Q8" s="729" t="s">
        <v>1</v>
      </c>
      <c r="R8" s="694" t="s">
        <v>1</v>
      </c>
    </row>
    <row r="9" spans="1:20" x14ac:dyDescent="0.3">
      <c r="A9" s="1112" t="s">
        <v>745</v>
      </c>
      <c r="B9" s="1112"/>
      <c r="C9" s="1112"/>
      <c r="D9" s="1112"/>
      <c r="E9" s="1112"/>
      <c r="F9" s="1112"/>
      <c r="G9" s="1112"/>
      <c r="H9" s="1112"/>
      <c r="I9" s="1112"/>
      <c r="J9" s="1112"/>
      <c r="K9" s="1112"/>
      <c r="L9" s="1112"/>
      <c r="M9" s="1112"/>
      <c r="N9" s="700"/>
      <c r="O9" s="731"/>
      <c r="P9" s="731"/>
      <c r="Q9" s="731"/>
      <c r="R9" s="700"/>
      <c r="S9" s="701"/>
      <c r="T9" s="701"/>
    </row>
    <row r="10" spans="1:20" x14ac:dyDescent="0.3">
      <c r="A10" s="685" t="s">
        <v>746</v>
      </c>
      <c r="B10" s="689" t="s">
        <v>730</v>
      </c>
      <c r="C10" s="689" t="s">
        <v>731</v>
      </c>
      <c r="D10" s="689" t="s">
        <v>732</v>
      </c>
      <c r="E10" s="689" t="s">
        <v>733</v>
      </c>
      <c r="F10" s="689" t="s">
        <v>734</v>
      </c>
      <c r="G10" s="688" t="s">
        <v>735</v>
      </c>
      <c r="H10" s="688" t="s">
        <v>736</v>
      </c>
      <c r="I10" s="689" t="s">
        <v>737</v>
      </c>
      <c r="J10" s="689" t="s">
        <v>738</v>
      </c>
      <c r="K10" s="689" t="s">
        <v>739</v>
      </c>
      <c r="L10" s="689" t="s">
        <v>740</v>
      </c>
      <c r="M10" s="689" t="s">
        <v>741</v>
      </c>
      <c r="N10" s="689" t="s">
        <v>742</v>
      </c>
      <c r="O10" s="726" t="s">
        <v>762</v>
      </c>
      <c r="P10" s="726" t="s">
        <v>770</v>
      </c>
      <c r="Q10" s="726" t="s">
        <v>847</v>
      </c>
      <c r="R10" s="689" t="s">
        <v>884</v>
      </c>
      <c r="S10" s="686"/>
      <c r="T10" s="686"/>
    </row>
    <row r="11" spans="1:20" hidden="1" x14ac:dyDescent="0.3">
      <c r="A11" s="691" t="s">
        <v>747</v>
      </c>
      <c r="B11" s="693">
        <v>6998.7</v>
      </c>
      <c r="C11" s="693">
        <v>7186.11</v>
      </c>
      <c r="D11" s="693">
        <v>0</v>
      </c>
      <c r="E11" s="693">
        <v>0</v>
      </c>
      <c r="F11" s="693">
        <v>0</v>
      </c>
      <c r="G11" s="693">
        <v>0</v>
      </c>
      <c r="H11" s="693">
        <v>0</v>
      </c>
      <c r="I11" s="693">
        <v>0</v>
      </c>
      <c r="J11" s="693">
        <v>0</v>
      </c>
      <c r="K11" s="693">
        <v>0</v>
      </c>
      <c r="L11" s="693">
        <v>0</v>
      </c>
      <c r="M11" s="693">
        <v>0</v>
      </c>
      <c r="N11" s="693">
        <v>0</v>
      </c>
      <c r="O11" s="728">
        <v>0</v>
      </c>
      <c r="P11" s="728">
        <v>0</v>
      </c>
      <c r="Q11" s="728">
        <v>0</v>
      </c>
      <c r="R11" s="693">
        <v>0</v>
      </c>
    </row>
    <row r="12" spans="1:20" x14ac:dyDescent="0.3">
      <c r="A12" s="974" t="s">
        <v>143</v>
      </c>
      <c r="B12" s="975">
        <v>26697.14</v>
      </c>
      <c r="C12" s="975">
        <v>27412.01</v>
      </c>
      <c r="D12" s="975">
        <v>16950.25</v>
      </c>
      <c r="E12" s="975">
        <v>18067.759999999998</v>
      </c>
      <c r="F12" s="975">
        <v>465.12</v>
      </c>
      <c r="G12" s="975">
        <v>9542.85</v>
      </c>
      <c r="H12" s="975">
        <v>20757.73</v>
      </c>
      <c r="I12" s="975">
        <v>9649.6200000000008</v>
      </c>
      <c r="J12" s="975">
        <v>18332.73</v>
      </c>
      <c r="K12" s="975">
        <v>8286.9500000000007</v>
      </c>
      <c r="L12" s="975">
        <v>3638.78</v>
      </c>
      <c r="M12" s="975">
        <v>6803.18</v>
      </c>
      <c r="N12" s="975">
        <v>3803.64</v>
      </c>
      <c r="O12" s="975">
        <v>15006.88</v>
      </c>
      <c r="P12" s="975">
        <v>12823.41</v>
      </c>
      <c r="Q12" s="975">
        <v>11735.92</v>
      </c>
      <c r="R12" s="975">
        <f>'Payment T&amp;T LAWSON'!N2</f>
        <v>14492.06</v>
      </c>
    </row>
    <row r="13" spans="1:20" x14ac:dyDescent="0.3">
      <c r="A13" s="974" t="s">
        <v>155</v>
      </c>
      <c r="B13" s="975">
        <v>0</v>
      </c>
      <c r="C13" s="975">
        <v>0</v>
      </c>
      <c r="D13" s="975">
        <v>0</v>
      </c>
      <c r="E13" s="975">
        <v>0</v>
      </c>
      <c r="F13" s="975">
        <v>4439.76</v>
      </c>
      <c r="G13" s="975">
        <v>7021.83</v>
      </c>
      <c r="H13" s="975">
        <v>8348.3700000000008</v>
      </c>
      <c r="I13" s="975">
        <v>8298.2099999999991</v>
      </c>
      <c r="J13" s="975">
        <v>8787</v>
      </c>
      <c r="K13" s="975">
        <v>6829</v>
      </c>
      <c r="L13" s="975">
        <v>7937</v>
      </c>
      <c r="M13" s="975">
        <v>7098</v>
      </c>
      <c r="N13" s="975">
        <v>5281</v>
      </c>
      <c r="O13" s="975">
        <v>6476</v>
      </c>
      <c r="P13" s="975">
        <v>14285.52</v>
      </c>
      <c r="Q13" s="975">
        <v>6518.76</v>
      </c>
      <c r="R13" s="975">
        <f>'Payment T&amp;T LAWSON'!N3</f>
        <v>16308.2</v>
      </c>
    </row>
    <row r="14" spans="1:20" x14ac:dyDescent="0.3">
      <c r="A14" s="974" t="s">
        <v>166</v>
      </c>
      <c r="B14" s="975">
        <v>0</v>
      </c>
      <c r="C14" s="975">
        <v>0</v>
      </c>
      <c r="D14" s="975">
        <v>14848.5</v>
      </c>
      <c r="E14" s="975">
        <v>12362.5</v>
      </c>
      <c r="F14" s="975">
        <v>5379.12</v>
      </c>
      <c r="G14" s="975">
        <v>4763.6400000000003</v>
      </c>
      <c r="H14" s="975">
        <v>2237.19</v>
      </c>
      <c r="I14" s="975">
        <v>9647.5400000000009</v>
      </c>
      <c r="J14" s="975">
        <v>7387.9</v>
      </c>
      <c r="K14" s="975">
        <v>6639.36</v>
      </c>
      <c r="L14" s="975">
        <v>15798.02</v>
      </c>
      <c r="M14" s="975">
        <v>12891.58</v>
      </c>
      <c r="N14" s="975">
        <v>10034.34</v>
      </c>
      <c r="O14" s="975">
        <v>3737.1</v>
      </c>
      <c r="P14" s="975">
        <v>0</v>
      </c>
      <c r="Q14" s="975">
        <v>3946.43</v>
      </c>
      <c r="R14" s="975">
        <f>'Payment T&amp;T LAWSON'!N4</f>
        <v>4142.53</v>
      </c>
    </row>
    <row r="15" spans="1:20" x14ac:dyDescent="0.3">
      <c r="A15" s="974" t="s">
        <v>64</v>
      </c>
      <c r="B15" s="975">
        <v>29314.78</v>
      </c>
      <c r="C15" s="975">
        <v>30099.74</v>
      </c>
      <c r="D15" s="975">
        <v>34116.589999999997</v>
      </c>
      <c r="E15" s="975">
        <v>27767.34</v>
      </c>
      <c r="F15" s="975">
        <v>35876.769999999997</v>
      </c>
      <c r="G15" s="975">
        <v>35813.599999999999</v>
      </c>
      <c r="H15" s="975">
        <v>55898.27</v>
      </c>
      <c r="I15" s="975">
        <v>63084.61</v>
      </c>
      <c r="J15" s="975">
        <v>64099.12</v>
      </c>
      <c r="K15" s="975">
        <v>70255.179999999993</v>
      </c>
      <c r="L15" s="975">
        <v>87862.43</v>
      </c>
      <c r="M15" s="975">
        <v>82994.39</v>
      </c>
      <c r="N15" s="975">
        <v>70280.679999999993</v>
      </c>
      <c r="O15" s="975">
        <v>54156.13</v>
      </c>
      <c r="P15" s="975">
        <v>72201.05</v>
      </c>
      <c r="Q15" s="975">
        <v>77169.3</v>
      </c>
      <c r="R15" s="975">
        <f>'Payment T&amp;T LAWSON'!N5</f>
        <v>86327.53</v>
      </c>
    </row>
    <row r="16" spans="1:20" x14ac:dyDescent="0.3">
      <c r="A16" s="974" t="s">
        <v>107</v>
      </c>
      <c r="B16" s="975">
        <v>8126.02</v>
      </c>
      <c r="C16" s="975">
        <v>8343.61</v>
      </c>
      <c r="D16" s="975">
        <v>5265.12</v>
      </c>
      <c r="E16" s="975">
        <v>3634.56</v>
      </c>
      <c r="F16" s="975">
        <v>4547.5200000000004</v>
      </c>
      <c r="G16" s="975">
        <v>6350.81</v>
      </c>
      <c r="H16" s="975">
        <v>3887.18</v>
      </c>
      <c r="I16" s="975">
        <v>4574.3500000000004</v>
      </c>
      <c r="J16" s="975">
        <v>8787.6</v>
      </c>
      <c r="K16" s="975">
        <v>8734.7999999999993</v>
      </c>
      <c r="L16" s="975">
        <v>8084.28</v>
      </c>
      <c r="M16" s="975">
        <v>6790.8</v>
      </c>
      <c r="N16" s="975">
        <v>9558.6</v>
      </c>
      <c r="O16" s="975">
        <v>7183.2</v>
      </c>
      <c r="P16" s="975">
        <v>8518.7999999999993</v>
      </c>
      <c r="Q16" s="975">
        <v>8298.24</v>
      </c>
      <c r="R16" s="975">
        <f>'Payment T&amp;T LAWSON'!N6</f>
        <v>22484.400000000001</v>
      </c>
    </row>
    <row r="17" spans="1:18" x14ac:dyDescent="0.3">
      <c r="A17" s="974" t="s">
        <v>67</v>
      </c>
      <c r="B17" s="975">
        <v>37110.04</v>
      </c>
      <c r="C17" s="975">
        <v>38103.730000000003</v>
      </c>
      <c r="D17" s="975">
        <v>12932.04</v>
      </c>
      <c r="E17" s="975">
        <v>24494.78</v>
      </c>
      <c r="F17" s="975">
        <v>17313.84</v>
      </c>
      <c r="G17" s="975">
        <v>13501.65</v>
      </c>
      <c r="H17" s="975">
        <v>54226.33</v>
      </c>
      <c r="I17" s="975">
        <v>16340.67</v>
      </c>
      <c r="J17" s="975">
        <v>10489.84</v>
      </c>
      <c r="K17" s="975">
        <v>11168.39</v>
      </c>
      <c r="L17" s="975">
        <v>9387.69</v>
      </c>
      <c r="M17" s="975">
        <v>11702.3</v>
      </c>
      <c r="N17" s="975">
        <v>16845.7</v>
      </c>
      <c r="O17" s="975">
        <v>4752.1099999999997</v>
      </c>
      <c r="P17" s="975">
        <v>23866.28</v>
      </c>
      <c r="Q17" s="975">
        <v>30786.82</v>
      </c>
      <c r="R17" s="975">
        <f>'Payment T&amp;T LAWSON'!N7</f>
        <v>18522.11</v>
      </c>
    </row>
    <row r="18" spans="1:18" s="977" customFormat="1" x14ac:dyDescent="0.3">
      <c r="A18" s="974" t="s">
        <v>748</v>
      </c>
      <c r="B18" s="975">
        <v>0</v>
      </c>
      <c r="C18" s="975">
        <v>0</v>
      </c>
      <c r="D18" s="975">
        <v>0</v>
      </c>
      <c r="E18" s="975">
        <v>430.08</v>
      </c>
      <c r="F18" s="975">
        <v>0</v>
      </c>
      <c r="G18" s="975">
        <v>0</v>
      </c>
      <c r="H18" s="975">
        <v>0</v>
      </c>
      <c r="I18" s="975">
        <v>0</v>
      </c>
      <c r="J18" s="975">
        <v>0</v>
      </c>
      <c r="K18" s="975">
        <v>0</v>
      </c>
      <c r="L18" s="975">
        <v>0</v>
      </c>
      <c r="M18" s="975">
        <v>0</v>
      </c>
      <c r="N18" s="975">
        <v>0</v>
      </c>
      <c r="O18" s="975">
        <v>0</v>
      </c>
      <c r="P18" s="975">
        <v>0</v>
      </c>
      <c r="Q18" s="975">
        <v>0</v>
      </c>
      <c r="R18" s="975">
        <v>0</v>
      </c>
    </row>
    <row r="19" spans="1:18" x14ac:dyDescent="0.3">
      <c r="A19" s="974" t="s">
        <v>234</v>
      </c>
      <c r="B19" s="975">
        <v>0</v>
      </c>
      <c r="C19" s="975">
        <v>0</v>
      </c>
      <c r="D19" s="975">
        <v>0</v>
      </c>
      <c r="E19" s="975">
        <v>0</v>
      </c>
      <c r="F19" s="975">
        <v>0</v>
      </c>
      <c r="G19" s="975">
        <v>0</v>
      </c>
      <c r="H19" s="975">
        <v>6230.76</v>
      </c>
      <c r="I19" s="975">
        <v>10624.73</v>
      </c>
      <c r="J19" s="975">
        <v>11866.01</v>
      </c>
      <c r="K19" s="975">
        <v>6411.6</v>
      </c>
      <c r="L19" s="975">
        <v>3496.06</v>
      </c>
      <c r="M19" s="975">
        <v>3557.69</v>
      </c>
      <c r="N19" s="975">
        <v>0</v>
      </c>
      <c r="O19" s="975">
        <v>6865.26</v>
      </c>
      <c r="P19" s="975">
        <v>16388.52</v>
      </c>
      <c r="Q19" s="975">
        <v>15053.18</v>
      </c>
      <c r="R19" s="975">
        <f>'Payment T&amp;T LAWSON'!N8</f>
        <v>27264.5</v>
      </c>
    </row>
    <row r="20" spans="1:18" x14ac:dyDescent="0.3">
      <c r="A20" s="974" t="s">
        <v>600</v>
      </c>
      <c r="B20" s="975">
        <v>0</v>
      </c>
      <c r="C20" s="975">
        <v>0</v>
      </c>
      <c r="D20" s="975">
        <v>3275.22</v>
      </c>
      <c r="E20" s="975">
        <v>3227.58</v>
      </c>
      <c r="F20" s="975">
        <v>3340.8</v>
      </c>
      <c r="G20" s="975">
        <v>2440.5700000000002</v>
      </c>
      <c r="H20" s="975">
        <v>0</v>
      </c>
      <c r="I20" s="975">
        <v>0</v>
      </c>
      <c r="J20" s="975">
        <v>0</v>
      </c>
      <c r="K20" s="975">
        <v>0</v>
      </c>
      <c r="L20" s="975">
        <v>0</v>
      </c>
      <c r="M20" s="975">
        <v>0</v>
      </c>
      <c r="N20" s="975">
        <v>10859.23</v>
      </c>
      <c r="O20" s="975">
        <v>6847.56</v>
      </c>
      <c r="P20" s="975">
        <v>6131.88</v>
      </c>
      <c r="Q20" s="975">
        <v>3617.31</v>
      </c>
      <c r="R20" s="975">
        <f>'Payment T&amp;T LAWSON'!N9</f>
        <v>4030.57</v>
      </c>
    </row>
    <row r="21" spans="1:18" x14ac:dyDescent="0.3">
      <c r="A21" s="974" t="s">
        <v>667</v>
      </c>
      <c r="B21" s="975">
        <v>55889.33</v>
      </c>
      <c r="C21" s="975">
        <v>57153.67</v>
      </c>
      <c r="D21" s="975">
        <v>93975.91</v>
      </c>
      <c r="E21" s="975">
        <v>73542.03</v>
      </c>
      <c r="F21" s="975">
        <v>73112.479999999996</v>
      </c>
      <c r="G21" s="975">
        <v>80442.600000000006</v>
      </c>
      <c r="H21" s="975">
        <v>39978.910000000003</v>
      </c>
      <c r="I21" s="975">
        <v>48360.37</v>
      </c>
      <c r="J21" s="975">
        <v>94152.45</v>
      </c>
      <c r="K21" s="975">
        <v>23535.14</v>
      </c>
      <c r="L21" s="975">
        <v>39476.99</v>
      </c>
      <c r="M21" s="975">
        <v>25456.29</v>
      </c>
      <c r="N21" s="975">
        <v>14533.29</v>
      </c>
      <c r="O21" s="975">
        <v>24855.82</v>
      </c>
      <c r="P21" s="975">
        <v>35120.720000000001</v>
      </c>
      <c r="Q21" s="975">
        <v>28585.85</v>
      </c>
      <c r="R21" s="975">
        <f>'Payment T&amp;T LAWSON'!N10</f>
        <v>63590.94</v>
      </c>
    </row>
    <row r="22" spans="1:18" x14ac:dyDescent="0.3">
      <c r="A22" s="974" t="s">
        <v>66</v>
      </c>
      <c r="B22" s="975">
        <v>482518.54</v>
      </c>
      <c r="C22" s="975">
        <v>437663.85</v>
      </c>
      <c r="D22" s="975">
        <v>753168.86</v>
      </c>
      <c r="E22" s="975">
        <v>508254.56</v>
      </c>
      <c r="F22" s="975">
        <v>694725.8</v>
      </c>
      <c r="G22" s="975">
        <v>775732.43</v>
      </c>
      <c r="H22" s="975">
        <v>736599.98</v>
      </c>
      <c r="I22" s="975">
        <v>893126.27</v>
      </c>
      <c r="J22" s="975">
        <v>1060043.8500000001</v>
      </c>
      <c r="K22" s="975">
        <v>1027863.73</v>
      </c>
      <c r="L22" s="975">
        <v>1083780.52</v>
      </c>
      <c r="M22" s="975">
        <v>1159416.48</v>
      </c>
      <c r="N22" s="975">
        <v>1269192.44</v>
      </c>
      <c r="O22" s="975">
        <v>1312090.24</v>
      </c>
      <c r="P22" s="975">
        <v>1512546.65</v>
      </c>
      <c r="Q22" s="975">
        <v>1710337.04</v>
      </c>
      <c r="R22" s="975">
        <f>'Payment T&amp;T LAWSON'!N11</f>
        <v>1522605.72</v>
      </c>
    </row>
    <row r="23" spans="1:18" x14ac:dyDescent="0.3">
      <c r="A23" s="974" t="s">
        <v>76</v>
      </c>
      <c r="B23" s="975">
        <v>317532.87</v>
      </c>
      <c r="C23" s="975">
        <v>326035.38</v>
      </c>
      <c r="D23" s="975">
        <v>319030.57</v>
      </c>
      <c r="E23" s="975">
        <v>294577.58</v>
      </c>
      <c r="F23" s="975">
        <v>314625.49</v>
      </c>
      <c r="G23" s="975">
        <v>302939.84999999998</v>
      </c>
      <c r="H23" s="975">
        <v>145809.67000000001</v>
      </c>
      <c r="I23" s="975">
        <v>107320.31</v>
      </c>
      <c r="J23" s="975">
        <v>240487.53</v>
      </c>
      <c r="K23" s="975">
        <v>228980.56</v>
      </c>
      <c r="L23" s="975">
        <v>161261.19</v>
      </c>
      <c r="M23" s="975">
        <v>182831.01</v>
      </c>
      <c r="N23" s="975">
        <v>247007.92</v>
      </c>
      <c r="O23" s="975">
        <v>300235.18</v>
      </c>
      <c r="P23" s="975">
        <v>375670.72</v>
      </c>
      <c r="Q23" s="975">
        <v>414048.58</v>
      </c>
      <c r="R23" s="975">
        <f>'Payment T&amp;T LAWSON'!N12</f>
        <v>483211.86</v>
      </c>
    </row>
    <row r="24" spans="1:18" x14ac:dyDescent="0.3">
      <c r="A24" s="974" t="s">
        <v>89</v>
      </c>
      <c r="B24" s="975">
        <v>14136.29</v>
      </c>
      <c r="C24" s="975">
        <v>14514.82</v>
      </c>
      <c r="D24" s="975">
        <v>26658</v>
      </c>
      <c r="E24" s="975">
        <v>13327.08</v>
      </c>
      <c r="F24" s="975">
        <v>9830.9599999999991</v>
      </c>
      <c r="G24" s="975">
        <v>11969.15</v>
      </c>
      <c r="H24" s="975">
        <v>10238.15</v>
      </c>
      <c r="I24" s="975">
        <v>15414.61</v>
      </c>
      <c r="J24" s="975">
        <v>17120.650000000001</v>
      </c>
      <c r="K24" s="975">
        <v>18526.79</v>
      </c>
      <c r="L24" s="975">
        <v>23907.62</v>
      </c>
      <c r="M24" s="975">
        <v>16229.31</v>
      </c>
      <c r="N24" s="975">
        <v>10670.03</v>
      </c>
      <c r="O24" s="975">
        <v>10568.94</v>
      </c>
      <c r="P24" s="975">
        <v>14040.59</v>
      </c>
      <c r="Q24" s="975">
        <v>18751.939999999999</v>
      </c>
      <c r="R24" s="975">
        <f>'Payment T&amp;T LAWSON'!N13</f>
        <v>35325.339999999997</v>
      </c>
    </row>
    <row r="25" spans="1:18" x14ac:dyDescent="0.3">
      <c r="A25" s="974" t="s">
        <v>113</v>
      </c>
      <c r="B25" s="975">
        <v>15368.11</v>
      </c>
      <c r="C25" s="975">
        <v>15779.62</v>
      </c>
      <c r="D25" s="975">
        <v>18926.080000000002</v>
      </c>
      <c r="E25" s="975">
        <v>16263.68</v>
      </c>
      <c r="F25" s="975">
        <v>11886.08</v>
      </c>
      <c r="G25" s="975">
        <v>8981.94</v>
      </c>
      <c r="H25" s="975">
        <v>7854.34</v>
      </c>
      <c r="I25" s="975">
        <v>8144.52</v>
      </c>
      <c r="J25" s="975">
        <v>10406.4</v>
      </c>
      <c r="K25" s="975">
        <v>10464</v>
      </c>
      <c r="L25" s="975">
        <v>12376</v>
      </c>
      <c r="M25" s="975">
        <v>11558.4</v>
      </c>
      <c r="N25" s="975">
        <v>11993.6</v>
      </c>
      <c r="O25" s="975">
        <v>12118.4</v>
      </c>
      <c r="P25" s="975">
        <v>13230.4</v>
      </c>
      <c r="Q25" s="975">
        <v>9573.98</v>
      </c>
      <c r="R25" s="975">
        <f>'Payment T&amp;T LAWSON'!N14</f>
        <v>8969.6</v>
      </c>
    </row>
    <row r="26" spans="1:18" s="977" customFormat="1" x14ac:dyDescent="0.3">
      <c r="A26" s="974" t="s">
        <v>749</v>
      </c>
      <c r="B26" s="975">
        <v>815207.61</v>
      </c>
      <c r="C26" s="975">
        <v>828065.94</v>
      </c>
      <c r="D26" s="975">
        <v>1226331.49</v>
      </c>
      <c r="E26" s="975">
        <v>1299796.58</v>
      </c>
      <c r="F26" s="975">
        <v>1248337.05</v>
      </c>
      <c r="G26" s="975">
        <v>1340666.6499999999</v>
      </c>
      <c r="H26" s="975">
        <v>1228107.53</v>
      </c>
      <c r="I26" s="975">
        <v>1161584.44</v>
      </c>
      <c r="J26" s="975">
        <v>1100996.8600000001</v>
      </c>
      <c r="K26" s="975">
        <v>1059602.57</v>
      </c>
      <c r="L26" s="975">
        <v>1096134.44</v>
      </c>
      <c r="M26" s="975">
        <v>1126429.06</v>
      </c>
      <c r="N26" s="975">
        <v>1176358.49</v>
      </c>
      <c r="O26" s="975">
        <v>1161893.95</v>
      </c>
      <c r="P26" s="975">
        <v>1374062.7</v>
      </c>
      <c r="Q26" s="975">
        <v>1122601.46</v>
      </c>
      <c r="R26" s="975">
        <f>'Payment T&amp;T LAWSON'!N15</f>
        <v>1108054.3500000001</v>
      </c>
    </row>
    <row r="27" spans="1:18" x14ac:dyDescent="0.3">
      <c r="A27" s="974" t="s">
        <v>750</v>
      </c>
      <c r="B27" s="975">
        <v>151859.43</v>
      </c>
      <c r="C27" s="975">
        <v>155925.74</v>
      </c>
      <c r="D27" s="975">
        <v>121651.6</v>
      </c>
      <c r="E27" s="975">
        <v>246221.95</v>
      </c>
      <c r="F27" s="975">
        <v>288531.58</v>
      </c>
      <c r="G27" s="975">
        <v>208150.68</v>
      </c>
      <c r="H27" s="975">
        <v>212113.15</v>
      </c>
      <c r="I27" s="975">
        <v>218969.73</v>
      </c>
      <c r="J27" s="975">
        <v>180873.02</v>
      </c>
      <c r="K27" s="975">
        <v>187433.36</v>
      </c>
      <c r="L27" s="975">
        <v>116225.76</v>
      </c>
      <c r="M27" s="975">
        <v>103102.43</v>
      </c>
      <c r="N27" s="975">
        <v>89720.93</v>
      </c>
      <c r="O27" s="975">
        <v>63066.69</v>
      </c>
      <c r="P27" s="975">
        <v>129597.95</v>
      </c>
      <c r="Q27" s="975">
        <v>116753.43</v>
      </c>
      <c r="R27" s="975">
        <f>'Payment T&amp;T LAWSON'!N16</f>
        <v>110574.64</v>
      </c>
    </row>
    <row r="28" spans="1:18" x14ac:dyDescent="0.3">
      <c r="A28" s="974" t="s">
        <v>78</v>
      </c>
      <c r="B28" s="975">
        <v>11577.24</v>
      </c>
      <c r="C28" s="975">
        <v>11887.24</v>
      </c>
      <c r="D28" s="975">
        <v>9752.64</v>
      </c>
      <c r="E28" s="975">
        <v>13922.26</v>
      </c>
      <c r="F28" s="975">
        <v>6590.84</v>
      </c>
      <c r="G28" s="975">
        <v>4928.92</v>
      </c>
      <c r="H28" s="975">
        <v>3890.54</v>
      </c>
      <c r="I28" s="975">
        <v>10808.83</v>
      </c>
      <c r="J28" s="975">
        <v>17544</v>
      </c>
      <c r="K28" s="975">
        <v>19271.2</v>
      </c>
      <c r="L28" s="975">
        <v>16483.2</v>
      </c>
      <c r="M28" s="975">
        <v>16224.8</v>
      </c>
      <c r="N28" s="975">
        <v>11988.4</v>
      </c>
      <c r="O28" s="975">
        <v>8717.6</v>
      </c>
      <c r="P28" s="975">
        <v>7565</v>
      </c>
      <c r="Q28" s="975">
        <v>7141.57</v>
      </c>
      <c r="R28" s="975">
        <f>'Payment T&amp;T LAWSON'!N17</f>
        <v>8678.7999999999993</v>
      </c>
    </row>
    <row r="29" spans="1:18" x14ac:dyDescent="0.3">
      <c r="A29" s="974" t="s">
        <v>79</v>
      </c>
      <c r="B29" s="975">
        <v>7297.75</v>
      </c>
      <c r="C29" s="975">
        <v>7493.16</v>
      </c>
      <c r="D29" s="975">
        <v>11416.96</v>
      </c>
      <c r="E29" s="975">
        <v>8889.8799999999992</v>
      </c>
      <c r="F29" s="975">
        <v>9032.64</v>
      </c>
      <c r="G29" s="975">
        <v>5197.99</v>
      </c>
      <c r="H29" s="975">
        <v>6531.15</v>
      </c>
      <c r="I29" s="975">
        <v>7613.23</v>
      </c>
      <c r="J29" s="975">
        <v>11133</v>
      </c>
      <c r="K29" s="975">
        <v>8341.2000000000007</v>
      </c>
      <c r="L29" s="975">
        <v>9727.4</v>
      </c>
      <c r="M29" s="975">
        <v>8887.6</v>
      </c>
      <c r="N29" s="975">
        <v>8900.4</v>
      </c>
      <c r="O29" s="975">
        <v>8914.1</v>
      </c>
      <c r="P29" s="975">
        <v>7598.8</v>
      </c>
      <c r="Q29" s="975">
        <v>5122.03</v>
      </c>
      <c r="R29" s="975">
        <f>'Payment T&amp;T LAWSON'!N18</f>
        <v>5181.8</v>
      </c>
    </row>
    <row r="30" spans="1:18" x14ac:dyDescent="0.3">
      <c r="A30" s="974" t="s">
        <v>124</v>
      </c>
      <c r="B30" s="975">
        <v>2100.0500000000002</v>
      </c>
      <c r="C30" s="975">
        <v>2156.2800000000002</v>
      </c>
      <c r="D30" s="975">
        <v>3028.48</v>
      </c>
      <c r="E30" s="975">
        <v>3473.28</v>
      </c>
      <c r="F30" s="975">
        <v>5960.96</v>
      </c>
      <c r="G30" s="975">
        <v>3899.29</v>
      </c>
      <c r="H30" s="975">
        <v>5262.89</v>
      </c>
      <c r="I30" s="975">
        <v>6704.8</v>
      </c>
      <c r="J30" s="975">
        <v>7693.6</v>
      </c>
      <c r="K30" s="975">
        <v>8110.4</v>
      </c>
      <c r="L30" s="975">
        <v>9716.5400000000009</v>
      </c>
      <c r="M30" s="975">
        <v>11228.8</v>
      </c>
      <c r="N30" s="975">
        <v>10490.8</v>
      </c>
      <c r="O30" s="975">
        <v>9036.9</v>
      </c>
      <c r="P30" s="975">
        <v>9355.7999999999993</v>
      </c>
      <c r="Q30" s="975">
        <v>7735.67</v>
      </c>
      <c r="R30" s="975">
        <f>'Payment T&amp;T LAWSON'!N19</f>
        <v>9280.7999999999993</v>
      </c>
    </row>
    <row r="31" spans="1:18" x14ac:dyDescent="0.3">
      <c r="A31" s="974" t="s">
        <v>80</v>
      </c>
      <c r="B31" s="975">
        <v>24521.25</v>
      </c>
      <c r="C31" s="975">
        <v>25177.85</v>
      </c>
      <c r="D31" s="975">
        <v>35963.839999999997</v>
      </c>
      <c r="E31" s="975">
        <v>28948.959999999999</v>
      </c>
      <c r="F31" s="975">
        <v>24030.560000000001</v>
      </c>
      <c r="G31" s="975">
        <v>17789.03</v>
      </c>
      <c r="H31" s="975">
        <v>18850.060000000001</v>
      </c>
      <c r="I31" s="975">
        <v>17953.64</v>
      </c>
      <c r="J31" s="975">
        <v>22040</v>
      </c>
      <c r="K31" s="975">
        <v>21778</v>
      </c>
      <c r="L31" s="975">
        <v>22576</v>
      </c>
      <c r="M31" s="975">
        <v>21642</v>
      </c>
      <c r="N31" s="975">
        <v>23344</v>
      </c>
      <c r="O31" s="975">
        <v>23410</v>
      </c>
      <c r="P31" s="975">
        <v>33696.199999999997</v>
      </c>
      <c r="Q31" s="975">
        <v>22608.1</v>
      </c>
      <c r="R31" s="975">
        <f>'Payment T&amp;T LAWSON'!N20</f>
        <v>30682</v>
      </c>
    </row>
    <row r="32" spans="1:18" x14ac:dyDescent="0.3">
      <c r="A32" s="974" t="s">
        <v>97</v>
      </c>
      <c r="B32" s="975">
        <v>3554.09</v>
      </c>
      <c r="C32" s="975">
        <v>3649.25</v>
      </c>
      <c r="D32" s="975">
        <v>3085.6</v>
      </c>
      <c r="E32" s="975">
        <v>2222.08</v>
      </c>
      <c r="F32" s="975">
        <v>3196.48</v>
      </c>
      <c r="G32" s="975">
        <v>3094.5</v>
      </c>
      <c r="H32" s="975">
        <v>4131.12</v>
      </c>
      <c r="I32" s="975">
        <v>3345.94</v>
      </c>
      <c r="J32" s="975">
        <v>4166.3999999999996</v>
      </c>
      <c r="K32" s="975">
        <v>5153.3999999999996</v>
      </c>
      <c r="L32" s="975">
        <v>5871.6</v>
      </c>
      <c r="M32" s="975">
        <v>5405.4</v>
      </c>
      <c r="N32" s="975">
        <v>4397.3999999999996</v>
      </c>
      <c r="O32" s="975">
        <v>3508.4</v>
      </c>
      <c r="P32" s="975">
        <v>4088</v>
      </c>
      <c r="Q32" s="975">
        <v>3425.05</v>
      </c>
      <c r="R32" s="975">
        <f>'Payment T&amp;T LAWSON'!N21</f>
        <v>4445</v>
      </c>
    </row>
    <row r="33" spans="1:18" x14ac:dyDescent="0.3">
      <c r="A33" s="974" t="s">
        <v>751</v>
      </c>
      <c r="B33" s="975">
        <v>220.63</v>
      </c>
      <c r="C33" s="975">
        <v>226.54</v>
      </c>
      <c r="D33" s="975">
        <v>0</v>
      </c>
      <c r="E33" s="975">
        <v>0</v>
      </c>
      <c r="F33" s="975">
        <v>0</v>
      </c>
      <c r="G33" s="975">
        <v>0</v>
      </c>
      <c r="H33" s="975">
        <v>0</v>
      </c>
      <c r="I33" s="975">
        <v>0</v>
      </c>
      <c r="J33" s="975">
        <v>0</v>
      </c>
      <c r="K33" s="975">
        <v>0</v>
      </c>
      <c r="L33" s="975">
        <v>0</v>
      </c>
      <c r="M33" s="975">
        <v>0</v>
      </c>
      <c r="N33" s="975">
        <v>0</v>
      </c>
      <c r="O33" s="975">
        <v>0</v>
      </c>
      <c r="P33" s="975">
        <v>0</v>
      </c>
      <c r="Q33" s="975">
        <v>0</v>
      </c>
      <c r="R33" s="975">
        <v>0</v>
      </c>
    </row>
    <row r="34" spans="1:18" x14ac:dyDescent="0.3">
      <c r="A34" s="974" t="s">
        <v>752</v>
      </c>
      <c r="B34" s="975">
        <v>264.33</v>
      </c>
      <c r="C34" s="975">
        <v>271.41000000000003</v>
      </c>
      <c r="D34" s="975">
        <v>0</v>
      </c>
      <c r="E34" s="975">
        <v>0</v>
      </c>
      <c r="F34" s="975">
        <v>0</v>
      </c>
      <c r="G34" s="975">
        <v>0</v>
      </c>
      <c r="H34" s="975">
        <v>0</v>
      </c>
      <c r="I34" s="975">
        <v>0</v>
      </c>
      <c r="J34" s="975">
        <v>0</v>
      </c>
      <c r="K34" s="975">
        <v>0</v>
      </c>
      <c r="L34" s="975">
        <v>0</v>
      </c>
      <c r="M34" s="975">
        <v>0</v>
      </c>
      <c r="N34" s="975">
        <v>0</v>
      </c>
      <c r="O34" s="975">
        <v>0</v>
      </c>
      <c r="P34" s="975">
        <v>0</v>
      </c>
      <c r="Q34" s="975">
        <v>0</v>
      </c>
      <c r="R34" s="975">
        <v>0</v>
      </c>
    </row>
    <row r="35" spans="1:18" s="729" customFormat="1" x14ac:dyDescent="0.3">
      <c r="A35" s="979" t="s">
        <v>759</v>
      </c>
      <c r="B35" s="978">
        <v>80079.740000000005</v>
      </c>
      <c r="C35" s="978">
        <v>81673.61</v>
      </c>
      <c r="D35" s="978">
        <v>99286.09</v>
      </c>
      <c r="E35" s="978">
        <v>119217.38</v>
      </c>
      <c r="F35" s="978">
        <v>141215.01</v>
      </c>
      <c r="G35" s="978">
        <v>136759.51</v>
      </c>
      <c r="H35" s="978">
        <v>99825.74</v>
      </c>
      <c r="I35" s="978">
        <v>214081.16</v>
      </c>
      <c r="J35" s="978">
        <v>249932.75</v>
      </c>
      <c r="K35" s="978">
        <v>226645.31</v>
      </c>
      <c r="L35" s="978">
        <v>237334.97</v>
      </c>
      <c r="M35" s="978">
        <v>228781.2</v>
      </c>
      <c r="N35" s="978">
        <v>185183.39</v>
      </c>
      <c r="O35" s="978">
        <v>193102.14</v>
      </c>
      <c r="P35" s="978">
        <v>224836.73</v>
      </c>
      <c r="Q35" s="978">
        <v>227287.4</v>
      </c>
      <c r="R35" s="978">
        <f>'Payment T&amp;T LAWSON'!N88</f>
        <v>209297.78</v>
      </c>
    </row>
    <row r="36" spans="1:18" x14ac:dyDescent="0.3">
      <c r="A36" s="974" t="s">
        <v>672</v>
      </c>
      <c r="B36" s="975">
        <v>115968.89</v>
      </c>
      <c r="C36" s="975">
        <v>119074.16</v>
      </c>
      <c r="D36" s="975">
        <v>144796.91</v>
      </c>
      <c r="E36" s="975">
        <v>248152.94</v>
      </c>
      <c r="F36" s="975">
        <v>110986.46</v>
      </c>
      <c r="G36" s="975">
        <v>79840.33</v>
      </c>
      <c r="H36" s="975">
        <v>123865.79</v>
      </c>
      <c r="I36" s="975">
        <v>162829.88</v>
      </c>
      <c r="J36" s="975">
        <v>107491.48</v>
      </c>
      <c r="K36" s="975">
        <v>111574.9</v>
      </c>
      <c r="L36" s="975">
        <v>131902</v>
      </c>
      <c r="M36" s="975">
        <v>156061.25</v>
      </c>
      <c r="N36" s="975">
        <v>155443.26999999999</v>
      </c>
      <c r="O36" s="975">
        <v>142107.87</v>
      </c>
      <c r="P36" s="975">
        <v>136512.24</v>
      </c>
      <c r="Q36" s="975">
        <v>96785.75</v>
      </c>
      <c r="R36" s="975">
        <f>'Payment T&amp;T LAWSON'!N22</f>
        <v>126217.99</v>
      </c>
    </row>
    <row r="37" spans="1:18" x14ac:dyDescent="0.3">
      <c r="A37" s="974" t="s">
        <v>753</v>
      </c>
      <c r="B37" s="975">
        <v>7453.31</v>
      </c>
      <c r="C37" s="975">
        <v>7652.89</v>
      </c>
      <c r="D37" s="975">
        <v>13075.04</v>
      </c>
      <c r="E37" s="975">
        <v>16173.6</v>
      </c>
      <c r="F37" s="975">
        <v>18344.8</v>
      </c>
      <c r="G37" s="975">
        <v>18511.09</v>
      </c>
      <c r="H37" s="975">
        <v>13817.5</v>
      </c>
      <c r="I37" s="975">
        <v>17490.96</v>
      </c>
      <c r="J37" s="975">
        <v>20824.2</v>
      </c>
      <c r="K37" s="975">
        <v>17309.8</v>
      </c>
      <c r="L37" s="975">
        <v>9038.5</v>
      </c>
      <c r="M37" s="975">
        <v>16178.2</v>
      </c>
      <c r="N37" s="975">
        <v>18745</v>
      </c>
      <c r="O37" s="975">
        <v>13537.8</v>
      </c>
      <c r="P37" s="975">
        <v>15299.6</v>
      </c>
      <c r="Q37" s="975">
        <v>13558.08</v>
      </c>
      <c r="R37" s="975">
        <f>'Payment T&amp;T LAWSON'!N23</f>
        <v>11120.5</v>
      </c>
    </row>
    <row r="38" spans="1:18" x14ac:dyDescent="0.3">
      <c r="A38" s="974" t="s">
        <v>144</v>
      </c>
      <c r="B38" s="975">
        <v>25769.759999999998</v>
      </c>
      <c r="C38" s="975">
        <v>26459.79</v>
      </c>
      <c r="D38" s="975">
        <v>51533.1</v>
      </c>
      <c r="E38" s="975">
        <v>72938.73</v>
      </c>
      <c r="F38" s="975">
        <v>58707.85</v>
      </c>
      <c r="G38" s="975">
        <v>86479.32</v>
      </c>
      <c r="H38" s="975">
        <v>70395.399999999994</v>
      </c>
      <c r="I38" s="975">
        <v>33630.449999999997</v>
      </c>
      <c r="J38" s="975">
        <v>0</v>
      </c>
      <c r="K38" s="975">
        <v>18545.59</v>
      </c>
      <c r="L38" s="975">
        <v>27322.91</v>
      </c>
      <c r="M38" s="975">
        <v>15834.47</v>
      </c>
      <c r="N38" s="975">
        <v>23426.720000000001</v>
      </c>
      <c r="O38" s="975">
        <v>45403.71</v>
      </c>
      <c r="P38" s="975">
        <v>39900.58</v>
      </c>
      <c r="Q38" s="975">
        <v>21703.85</v>
      </c>
      <c r="R38" s="975">
        <f>'Payment T&amp;T LAWSON'!N24</f>
        <v>11179.11</v>
      </c>
    </row>
    <row r="39" spans="1:18" x14ac:dyDescent="0.3">
      <c r="A39" s="974" t="s">
        <v>90</v>
      </c>
      <c r="B39" s="975">
        <v>4066.17</v>
      </c>
      <c r="C39" s="975">
        <v>4175.05</v>
      </c>
      <c r="D39" s="975">
        <v>5734.72</v>
      </c>
      <c r="E39" s="975">
        <v>5184</v>
      </c>
      <c r="F39" s="975">
        <v>4224.8</v>
      </c>
      <c r="G39" s="975">
        <v>3086.65</v>
      </c>
      <c r="H39" s="975">
        <v>4718.99</v>
      </c>
      <c r="I39" s="975">
        <v>4320.91</v>
      </c>
      <c r="J39" s="975">
        <v>6918</v>
      </c>
      <c r="K39" s="975">
        <v>8958.7000000000007</v>
      </c>
      <c r="L39" s="975">
        <v>5926.6</v>
      </c>
      <c r="M39" s="975">
        <v>9498.1</v>
      </c>
      <c r="N39" s="975">
        <v>10452.5</v>
      </c>
      <c r="O39" s="975">
        <v>5364.4</v>
      </c>
      <c r="P39" s="975">
        <v>5252.8</v>
      </c>
      <c r="Q39" s="975">
        <v>2818.38</v>
      </c>
      <c r="R39" s="975">
        <f>'Payment T&amp;T LAWSON'!N25</f>
        <v>5981.7</v>
      </c>
    </row>
    <row r="40" spans="1:18" s="729" customFormat="1" x14ac:dyDescent="0.3">
      <c r="A40" s="974" t="s">
        <v>864</v>
      </c>
      <c r="B40" s="975">
        <v>0</v>
      </c>
      <c r="C40" s="975">
        <v>0</v>
      </c>
      <c r="D40" s="975">
        <v>0</v>
      </c>
      <c r="E40" s="975">
        <v>0</v>
      </c>
      <c r="F40" s="975">
        <v>0</v>
      </c>
      <c r="G40" s="975">
        <v>0</v>
      </c>
      <c r="H40" s="975">
        <v>0</v>
      </c>
      <c r="I40" s="975">
        <v>0</v>
      </c>
      <c r="J40" s="975">
        <v>0</v>
      </c>
      <c r="K40" s="975">
        <v>0</v>
      </c>
      <c r="L40" s="975">
        <v>0</v>
      </c>
      <c r="M40" s="975">
        <v>0</v>
      </c>
      <c r="N40" s="975">
        <v>0</v>
      </c>
      <c r="O40" s="975">
        <v>0</v>
      </c>
      <c r="P40" s="975">
        <v>0</v>
      </c>
      <c r="Q40" s="975">
        <v>0</v>
      </c>
      <c r="R40" s="975">
        <f>'Payment T&amp;T LAWSON'!N26</f>
        <v>68</v>
      </c>
    </row>
    <row r="41" spans="1:18" x14ac:dyDescent="0.3">
      <c r="A41" s="974" t="s">
        <v>104</v>
      </c>
      <c r="B41" s="975">
        <v>1906.96</v>
      </c>
      <c r="C41" s="975">
        <v>1958.02</v>
      </c>
      <c r="D41" s="975">
        <v>4265.6000000000004</v>
      </c>
      <c r="E41" s="975">
        <v>3155.2</v>
      </c>
      <c r="F41" s="975">
        <v>2273.6</v>
      </c>
      <c r="G41" s="975">
        <v>3277.61</v>
      </c>
      <c r="H41" s="975">
        <v>4696.12</v>
      </c>
      <c r="I41" s="975">
        <v>2430.65</v>
      </c>
      <c r="J41" s="975">
        <v>4024</v>
      </c>
      <c r="K41" s="975">
        <v>5087</v>
      </c>
      <c r="L41" s="975">
        <v>4488.28</v>
      </c>
      <c r="M41" s="975">
        <v>3726</v>
      </c>
      <c r="N41" s="975">
        <v>4975</v>
      </c>
      <c r="O41" s="975">
        <v>5024</v>
      </c>
      <c r="P41" s="975">
        <v>5410</v>
      </c>
      <c r="Q41" s="975">
        <v>4895.2700000000004</v>
      </c>
      <c r="R41" s="975">
        <f>'Payment T&amp;T LAWSON'!N27</f>
        <v>10742</v>
      </c>
    </row>
    <row r="42" spans="1:18" x14ac:dyDescent="0.3">
      <c r="A42" s="974" t="s">
        <v>82</v>
      </c>
      <c r="B42" s="975">
        <v>118540.31</v>
      </c>
      <c r="C42" s="975">
        <v>113846.27</v>
      </c>
      <c r="D42" s="975">
        <v>132494.46</v>
      </c>
      <c r="E42" s="975">
        <v>118478.47</v>
      </c>
      <c r="F42" s="975">
        <v>162878.35999999999</v>
      </c>
      <c r="G42" s="975">
        <v>160528.39000000001</v>
      </c>
      <c r="H42" s="975">
        <v>150587.46</v>
      </c>
      <c r="I42" s="975">
        <v>159607.79</v>
      </c>
      <c r="J42" s="975">
        <v>213647.08</v>
      </c>
      <c r="K42" s="975">
        <v>123164.3</v>
      </c>
      <c r="L42" s="975">
        <v>112246.49</v>
      </c>
      <c r="M42" s="975">
        <v>138537.17000000001</v>
      </c>
      <c r="N42" s="975">
        <v>171251.63</v>
      </c>
      <c r="O42" s="975">
        <v>126895.97</v>
      </c>
      <c r="P42" s="975">
        <v>236395.66</v>
      </c>
      <c r="Q42" s="975">
        <v>292846.08000000002</v>
      </c>
      <c r="R42" s="975">
        <f>'Payment T&amp;T LAWSON'!N28</f>
        <v>335203.88</v>
      </c>
    </row>
    <row r="43" spans="1:18" x14ac:dyDescent="0.3">
      <c r="A43" s="974" t="s">
        <v>83</v>
      </c>
      <c r="B43" s="975">
        <v>13301.09</v>
      </c>
      <c r="C43" s="975">
        <v>13657.25</v>
      </c>
      <c r="D43" s="975">
        <v>14349.28</v>
      </c>
      <c r="E43" s="975">
        <v>13488.62</v>
      </c>
      <c r="F43" s="975">
        <v>10514.2</v>
      </c>
      <c r="G43" s="975">
        <v>9908.14</v>
      </c>
      <c r="H43" s="975">
        <v>10583.84</v>
      </c>
      <c r="I43" s="975">
        <v>9350.27</v>
      </c>
      <c r="J43" s="975">
        <v>12106.2</v>
      </c>
      <c r="K43" s="975">
        <v>14028</v>
      </c>
      <c r="L43" s="975">
        <v>10582</v>
      </c>
      <c r="M43" s="975">
        <v>14226.4</v>
      </c>
      <c r="N43" s="975">
        <v>14797.4</v>
      </c>
      <c r="O43" s="975">
        <v>16878.599999999999</v>
      </c>
      <c r="P43" s="975">
        <v>11438.6</v>
      </c>
      <c r="Q43" s="975">
        <v>8858.2099999999991</v>
      </c>
      <c r="R43" s="975">
        <f>'Payment T&amp;T LAWSON'!N29</f>
        <v>9875.4</v>
      </c>
    </row>
    <row r="44" spans="1:18" x14ac:dyDescent="0.3">
      <c r="A44" s="974" t="s">
        <v>156</v>
      </c>
      <c r="B44" s="975">
        <v>6488.59</v>
      </c>
      <c r="C44" s="975">
        <v>6662.33</v>
      </c>
      <c r="D44" s="975">
        <v>15202.08</v>
      </c>
      <c r="E44" s="975">
        <v>10834.56</v>
      </c>
      <c r="F44" s="975">
        <v>9576.9599999999991</v>
      </c>
      <c r="G44" s="975">
        <v>10122.39</v>
      </c>
      <c r="H44" s="975">
        <v>5948.58</v>
      </c>
      <c r="I44" s="975">
        <v>6747.73</v>
      </c>
      <c r="J44" s="975">
        <v>13096</v>
      </c>
      <c r="K44" s="975">
        <v>3444</v>
      </c>
      <c r="L44" s="975">
        <v>4958</v>
      </c>
      <c r="M44" s="975">
        <v>4260</v>
      </c>
      <c r="N44" s="975">
        <v>4219.3999999999996</v>
      </c>
      <c r="O44" s="975">
        <v>16452.72</v>
      </c>
      <c r="P44" s="975">
        <v>19564.419999999998</v>
      </c>
      <c r="Q44" s="975">
        <v>18755.689999999999</v>
      </c>
      <c r="R44" s="975">
        <f>'Payment T&amp;T LAWSON'!N30</f>
        <v>2439.1999999999998</v>
      </c>
    </row>
    <row r="45" spans="1:18" s="729" customFormat="1" x14ac:dyDescent="0.3">
      <c r="A45" s="974" t="s">
        <v>676</v>
      </c>
      <c r="B45" s="975">
        <v>22580</v>
      </c>
      <c r="C45" s="975">
        <v>23184.62</v>
      </c>
      <c r="D45" s="975">
        <v>26436.799999999999</v>
      </c>
      <c r="E45" s="975">
        <v>22547.200000000001</v>
      </c>
      <c r="F45" s="975">
        <v>13612.8</v>
      </c>
      <c r="G45" s="975">
        <v>14395.92</v>
      </c>
      <c r="H45" s="975">
        <v>12037.74</v>
      </c>
      <c r="I45" s="975">
        <v>11847.64</v>
      </c>
      <c r="J45" s="975">
        <v>14826</v>
      </c>
      <c r="K45" s="975">
        <v>13065</v>
      </c>
      <c r="L45" s="975">
        <v>16223.66</v>
      </c>
      <c r="M45" s="975">
        <v>17560.5</v>
      </c>
      <c r="N45" s="975">
        <v>15210</v>
      </c>
      <c r="O45" s="975">
        <v>13464</v>
      </c>
      <c r="P45" s="975">
        <v>13356</v>
      </c>
      <c r="Q45" s="975">
        <v>15356.15</v>
      </c>
      <c r="R45" s="975">
        <f>'Payment T&amp;T LAWSON'!N82</f>
        <v>15961.9</v>
      </c>
    </row>
    <row r="46" spans="1:18" x14ac:dyDescent="0.3">
      <c r="A46" s="974" t="s">
        <v>101</v>
      </c>
      <c r="B46" s="975">
        <v>17128.79</v>
      </c>
      <c r="C46" s="975">
        <v>17587.439999999999</v>
      </c>
      <c r="D46" s="975">
        <v>7828.48</v>
      </c>
      <c r="E46" s="975">
        <v>9700.7999999999993</v>
      </c>
      <c r="F46" s="975">
        <v>121590</v>
      </c>
      <c r="G46" s="975">
        <v>39777.279999999999</v>
      </c>
      <c r="H46" s="975">
        <v>36288.57</v>
      </c>
      <c r="I46" s="975">
        <v>10927.73</v>
      </c>
      <c r="J46" s="975">
        <v>27749</v>
      </c>
      <c r="K46" s="975">
        <v>31510.6</v>
      </c>
      <c r="L46" s="975">
        <v>26070.2</v>
      </c>
      <c r="M46" s="975">
        <v>37950.800000000003</v>
      </c>
      <c r="N46" s="975">
        <v>36767</v>
      </c>
      <c r="O46" s="975">
        <v>41446.18</v>
      </c>
      <c r="P46" s="975">
        <v>32614.46</v>
      </c>
      <c r="Q46" s="975">
        <v>21437.02</v>
      </c>
      <c r="R46" s="975">
        <f>'Payment T&amp;T LAWSON'!N31</f>
        <v>18873.2</v>
      </c>
    </row>
    <row r="47" spans="1:18" x14ac:dyDescent="0.3">
      <c r="A47" s="974" t="s">
        <v>132</v>
      </c>
      <c r="B47" s="975">
        <v>111515.99</v>
      </c>
      <c r="C47" s="975">
        <v>114502.03</v>
      </c>
      <c r="D47" s="975">
        <v>119636.11</v>
      </c>
      <c r="E47" s="975">
        <v>149978.74</v>
      </c>
      <c r="F47" s="975">
        <v>182441.44</v>
      </c>
      <c r="G47" s="975">
        <v>155133.4</v>
      </c>
      <c r="H47" s="975">
        <v>143071.21</v>
      </c>
      <c r="I47" s="975">
        <v>161584.29999999999</v>
      </c>
      <c r="J47" s="975">
        <v>228748.73</v>
      </c>
      <c r="K47" s="975">
        <v>207748.76</v>
      </c>
      <c r="L47" s="975">
        <v>222388.62</v>
      </c>
      <c r="M47" s="975">
        <v>239154.6</v>
      </c>
      <c r="N47" s="975">
        <v>184456.53</v>
      </c>
      <c r="O47" s="975">
        <v>230611.55</v>
      </c>
      <c r="P47" s="975">
        <v>220812.76</v>
      </c>
      <c r="Q47" s="975">
        <v>260446.17</v>
      </c>
      <c r="R47" s="975">
        <f>'Payment T&amp;T LAWSON'!N32</f>
        <v>165294.12</v>
      </c>
    </row>
    <row r="48" spans="1:18" x14ac:dyDescent="0.3">
      <c r="A48" s="974" t="s">
        <v>133</v>
      </c>
      <c r="B48" s="975">
        <v>397608.77</v>
      </c>
      <c r="C48" s="975">
        <v>408130.62</v>
      </c>
      <c r="D48" s="975">
        <v>521033.87</v>
      </c>
      <c r="E48" s="975">
        <v>674320.61</v>
      </c>
      <c r="F48" s="975">
        <v>763268.03</v>
      </c>
      <c r="G48" s="975">
        <v>643244.30000000005</v>
      </c>
      <c r="H48" s="975">
        <v>890243.11</v>
      </c>
      <c r="I48" s="975">
        <v>772017.97</v>
      </c>
      <c r="J48" s="975">
        <v>664021.39</v>
      </c>
      <c r="K48" s="975">
        <v>683953.29</v>
      </c>
      <c r="L48" s="975">
        <v>853442.26</v>
      </c>
      <c r="M48" s="975">
        <v>768790.23</v>
      </c>
      <c r="N48" s="975">
        <v>772356.06</v>
      </c>
      <c r="O48" s="975">
        <v>658774.02</v>
      </c>
      <c r="P48" s="975">
        <v>787303.67</v>
      </c>
      <c r="Q48" s="975">
        <v>833020.31</v>
      </c>
      <c r="R48" s="975">
        <f>'Payment T&amp;T LAWSON'!N33</f>
        <v>892466.21</v>
      </c>
    </row>
    <row r="49" spans="1:18" x14ac:dyDescent="0.3">
      <c r="A49" s="974" t="s">
        <v>87</v>
      </c>
      <c r="B49" s="975">
        <v>203429.62</v>
      </c>
      <c r="C49" s="975">
        <v>208876.82</v>
      </c>
      <c r="D49" s="975">
        <v>305788.61</v>
      </c>
      <c r="E49" s="975">
        <v>360650.64</v>
      </c>
      <c r="F49" s="975">
        <v>385122.25</v>
      </c>
      <c r="G49" s="975">
        <v>302995.26</v>
      </c>
      <c r="H49" s="975">
        <v>275917.12</v>
      </c>
      <c r="I49" s="975">
        <v>286573.08</v>
      </c>
      <c r="J49" s="975">
        <v>230322.69</v>
      </c>
      <c r="K49" s="975">
        <v>189062.5</v>
      </c>
      <c r="L49" s="975">
        <v>181709.85</v>
      </c>
      <c r="M49" s="975">
        <v>208116.62</v>
      </c>
      <c r="N49" s="975">
        <v>168993.81</v>
      </c>
      <c r="O49" s="975">
        <v>154844.43</v>
      </c>
      <c r="P49" s="975">
        <v>223097.59</v>
      </c>
      <c r="Q49" s="975">
        <v>165377.76</v>
      </c>
      <c r="R49" s="975">
        <f>'Payment T&amp;T LAWSON'!N34</f>
        <v>201467.3</v>
      </c>
    </row>
    <row r="50" spans="1:18" x14ac:dyDescent="0.3">
      <c r="A50" s="974" t="s">
        <v>754</v>
      </c>
      <c r="B50" s="975">
        <v>3387.28</v>
      </c>
      <c r="C50" s="975">
        <v>3477.98</v>
      </c>
      <c r="D50" s="975">
        <v>8487.0400000000009</v>
      </c>
      <c r="E50" s="975">
        <v>4165.76</v>
      </c>
      <c r="F50" s="975">
        <v>7201.28</v>
      </c>
      <c r="G50" s="975">
        <v>2136.63</v>
      </c>
      <c r="H50" s="975">
        <v>1685.55</v>
      </c>
      <c r="I50" s="975">
        <v>4715.1099999999997</v>
      </c>
      <c r="J50" s="975">
        <v>8444.7999999999993</v>
      </c>
      <c r="K50" s="975">
        <v>12086.4</v>
      </c>
      <c r="L50" s="975">
        <v>11052.8</v>
      </c>
      <c r="M50" s="975">
        <v>16278.4</v>
      </c>
      <c r="N50" s="975">
        <v>12406.4</v>
      </c>
      <c r="O50" s="975">
        <v>6614.4</v>
      </c>
      <c r="P50" s="975">
        <v>9656</v>
      </c>
      <c r="Q50" s="975">
        <v>5837.09</v>
      </c>
      <c r="R50" s="975">
        <f>'Payment T&amp;T LAWSON'!N35</f>
        <v>0</v>
      </c>
    </row>
    <row r="51" spans="1:18" x14ac:dyDescent="0.3">
      <c r="A51" s="974" t="s">
        <v>125</v>
      </c>
      <c r="B51" s="975">
        <v>5674.65</v>
      </c>
      <c r="C51" s="975">
        <v>5826.6</v>
      </c>
      <c r="D51" s="975">
        <v>4614.72</v>
      </c>
      <c r="E51" s="975">
        <v>20302.72</v>
      </c>
      <c r="F51" s="975">
        <v>21500</v>
      </c>
      <c r="G51" s="975">
        <v>18597.060000000001</v>
      </c>
      <c r="H51" s="975">
        <v>5985.56</v>
      </c>
      <c r="I51" s="975">
        <v>7282.06</v>
      </c>
      <c r="J51" s="975">
        <v>9548</v>
      </c>
      <c r="K51" s="975">
        <v>10104.6</v>
      </c>
      <c r="L51" s="975">
        <v>12938.2</v>
      </c>
      <c r="M51" s="975">
        <v>10870.2</v>
      </c>
      <c r="N51" s="975">
        <v>11851.4</v>
      </c>
      <c r="O51" s="975">
        <v>11624.8</v>
      </c>
      <c r="P51" s="975">
        <v>13149.4</v>
      </c>
      <c r="Q51" s="975">
        <v>8984.93</v>
      </c>
      <c r="R51" s="975">
        <f>'Payment T&amp;T LAWSON'!N36</f>
        <v>12936</v>
      </c>
    </row>
    <row r="52" spans="1:18" x14ac:dyDescent="0.3">
      <c r="A52" s="974" t="s">
        <v>92</v>
      </c>
      <c r="B52" s="975">
        <v>3476.38</v>
      </c>
      <c r="C52" s="975">
        <v>3569.46</v>
      </c>
      <c r="D52" s="975">
        <v>4932.4799999999996</v>
      </c>
      <c r="E52" s="975">
        <v>4377.6000000000004</v>
      </c>
      <c r="F52" s="975">
        <v>2544.8000000000002</v>
      </c>
      <c r="G52" s="975">
        <v>18239.12</v>
      </c>
      <c r="H52" s="975">
        <v>3217.39</v>
      </c>
      <c r="I52" s="975">
        <v>6756.83</v>
      </c>
      <c r="J52" s="975">
        <v>6893.5</v>
      </c>
      <c r="K52" s="975">
        <v>4867.3</v>
      </c>
      <c r="L52" s="975">
        <v>6860.16</v>
      </c>
      <c r="M52" s="975">
        <v>11753.39</v>
      </c>
      <c r="N52" s="975">
        <v>10580.14</v>
      </c>
      <c r="O52" s="975">
        <v>9623.76</v>
      </c>
      <c r="P52" s="975">
        <v>11760.97</v>
      </c>
      <c r="Q52" s="975">
        <v>4894.41</v>
      </c>
      <c r="R52" s="975">
        <f>'Payment T&amp;T LAWSON'!N37</f>
        <v>4706.8999999999996</v>
      </c>
    </row>
    <row r="53" spans="1:18" x14ac:dyDescent="0.3">
      <c r="A53" s="974" t="s">
        <v>68</v>
      </c>
      <c r="B53" s="975">
        <v>111689.66</v>
      </c>
      <c r="C53" s="975">
        <v>114680.36</v>
      </c>
      <c r="D53" s="975">
        <v>124189.24</v>
      </c>
      <c r="E53" s="975">
        <v>294622.19</v>
      </c>
      <c r="F53" s="975">
        <v>388733.49</v>
      </c>
      <c r="G53" s="975">
        <v>237594.22</v>
      </c>
      <c r="H53" s="975">
        <v>236461.68</v>
      </c>
      <c r="I53" s="975">
        <v>275931.5</v>
      </c>
      <c r="J53" s="975">
        <v>266089.53000000003</v>
      </c>
      <c r="K53" s="975">
        <v>234273.75</v>
      </c>
      <c r="L53" s="975">
        <v>291665.55</v>
      </c>
      <c r="M53" s="975">
        <v>290229.26</v>
      </c>
      <c r="N53" s="975">
        <v>346057.27</v>
      </c>
      <c r="O53" s="975">
        <v>375150.45</v>
      </c>
      <c r="P53" s="975">
        <v>394067.46</v>
      </c>
      <c r="Q53" s="975">
        <v>330030.53999999998</v>
      </c>
      <c r="R53" s="975">
        <f>'Payment T&amp;T LAWSON'!N38</f>
        <v>319471.64</v>
      </c>
    </row>
    <row r="54" spans="1:18" x14ac:dyDescent="0.3">
      <c r="A54" s="974" t="s">
        <v>117</v>
      </c>
      <c r="B54" s="975">
        <v>23750.87</v>
      </c>
      <c r="C54" s="975">
        <v>24386.85</v>
      </c>
      <c r="D54" s="975">
        <v>29434.880000000001</v>
      </c>
      <c r="E54" s="975">
        <v>32943.360000000001</v>
      </c>
      <c r="F54" s="975">
        <v>22001.279999999999</v>
      </c>
      <c r="G54" s="975">
        <v>20064.73</v>
      </c>
      <c r="H54" s="975">
        <v>25289.23</v>
      </c>
      <c r="I54" s="975">
        <v>33448.28</v>
      </c>
      <c r="J54" s="975">
        <v>44947.1</v>
      </c>
      <c r="K54" s="975">
        <v>40670.699999999997</v>
      </c>
      <c r="L54" s="975">
        <v>34959.1</v>
      </c>
      <c r="M54" s="975">
        <v>33637.199999999997</v>
      </c>
      <c r="N54" s="975">
        <v>28442.7</v>
      </c>
      <c r="O54" s="975">
        <v>23897.4</v>
      </c>
      <c r="P54" s="975">
        <v>28423</v>
      </c>
      <c r="Q54" s="975">
        <v>24573.48</v>
      </c>
      <c r="R54" s="975">
        <f>'Payment T&amp;T LAWSON'!N39</f>
        <v>28490.1</v>
      </c>
    </row>
    <row r="55" spans="1:18" x14ac:dyDescent="0.3">
      <c r="A55" s="974" t="s">
        <v>88</v>
      </c>
      <c r="B55" s="975">
        <v>23630.06</v>
      </c>
      <c r="C55" s="975">
        <v>24262.79</v>
      </c>
      <c r="D55" s="975">
        <v>26047</v>
      </c>
      <c r="E55" s="975">
        <v>31378.82</v>
      </c>
      <c r="F55" s="975">
        <v>27075.85</v>
      </c>
      <c r="G55" s="975">
        <v>16510.68</v>
      </c>
      <c r="H55" s="975">
        <v>22592.52</v>
      </c>
      <c r="I55" s="975">
        <v>36726.19</v>
      </c>
      <c r="J55" s="975">
        <v>22623.21</v>
      </c>
      <c r="K55" s="975">
        <v>10105.19</v>
      </c>
      <c r="L55" s="975">
        <v>7500.46</v>
      </c>
      <c r="M55" s="975">
        <v>6552.17</v>
      </c>
      <c r="N55" s="975">
        <v>6693.35</v>
      </c>
      <c r="O55" s="975">
        <v>19693.080000000002</v>
      </c>
      <c r="P55" s="975">
        <v>22800.33</v>
      </c>
      <c r="Q55" s="975">
        <v>18086.54</v>
      </c>
      <c r="R55" s="975">
        <f>'Payment T&amp;T LAWSON'!N40</f>
        <v>14905.48</v>
      </c>
    </row>
    <row r="56" spans="1:18" x14ac:dyDescent="0.3">
      <c r="A56" s="974" t="s">
        <v>93</v>
      </c>
      <c r="B56" s="975">
        <v>390458.94</v>
      </c>
      <c r="C56" s="975">
        <v>368870.62</v>
      </c>
      <c r="D56" s="975">
        <v>481252.22</v>
      </c>
      <c r="E56" s="975">
        <v>478146.9</v>
      </c>
      <c r="F56" s="975">
        <v>492478</v>
      </c>
      <c r="G56" s="975">
        <v>546982.93999999994</v>
      </c>
      <c r="H56" s="975">
        <v>560823.43999999994</v>
      </c>
      <c r="I56" s="975">
        <v>543862.80000000005</v>
      </c>
      <c r="J56" s="975">
        <v>734177.48</v>
      </c>
      <c r="K56" s="975">
        <v>674163.55</v>
      </c>
      <c r="L56" s="975">
        <v>694329.23</v>
      </c>
      <c r="M56" s="975">
        <v>624643.11</v>
      </c>
      <c r="N56" s="975">
        <v>641448.43000000005</v>
      </c>
      <c r="O56" s="975">
        <v>631823.55000000005</v>
      </c>
      <c r="P56" s="975">
        <v>896179.24</v>
      </c>
      <c r="Q56" s="975">
        <v>876593.82</v>
      </c>
      <c r="R56" s="975">
        <f>'Payment T&amp;T LAWSON'!N41</f>
        <v>855821.26</v>
      </c>
    </row>
    <row r="57" spans="1:18" x14ac:dyDescent="0.3">
      <c r="A57" s="974" t="s">
        <v>130</v>
      </c>
      <c r="B57" s="975">
        <v>17409.14</v>
      </c>
      <c r="C57" s="975">
        <v>17875.3</v>
      </c>
      <c r="D57" s="975">
        <v>46146.92</v>
      </c>
      <c r="E57" s="975">
        <v>55497.599999999999</v>
      </c>
      <c r="F57" s="975">
        <v>62046.36</v>
      </c>
      <c r="G57" s="975">
        <v>62175.34</v>
      </c>
      <c r="H57" s="975">
        <v>61155.14</v>
      </c>
      <c r="I57" s="975">
        <v>27283.599999999999</v>
      </c>
      <c r="J57" s="975">
        <v>30048.38</v>
      </c>
      <c r="K57" s="975">
        <v>49378.76</v>
      </c>
      <c r="L57" s="975">
        <v>68896.3</v>
      </c>
      <c r="M57" s="975">
        <v>82350.81</v>
      </c>
      <c r="N57" s="975">
        <v>61630.080000000002</v>
      </c>
      <c r="O57" s="975">
        <v>39559.620000000003</v>
      </c>
      <c r="P57" s="975">
        <v>38559.78</v>
      </c>
      <c r="Q57" s="975">
        <v>55664.44</v>
      </c>
      <c r="R57" s="975">
        <f>'Payment T&amp;T LAWSON'!N42</f>
        <v>37499.21</v>
      </c>
    </row>
    <row r="58" spans="1:18" x14ac:dyDescent="0.3">
      <c r="A58" s="974" t="s">
        <v>116</v>
      </c>
      <c r="B58" s="975">
        <v>147406.97</v>
      </c>
      <c r="C58" s="975">
        <v>151354.06</v>
      </c>
      <c r="D58" s="975">
        <v>234721.52</v>
      </c>
      <c r="E58" s="975">
        <v>201908.37</v>
      </c>
      <c r="F58" s="975">
        <v>218470.31</v>
      </c>
      <c r="G58" s="975">
        <v>231690.74</v>
      </c>
      <c r="H58" s="975">
        <v>260407.25</v>
      </c>
      <c r="I58" s="975">
        <v>197187.01</v>
      </c>
      <c r="J58" s="975">
        <v>147591.57</v>
      </c>
      <c r="K58" s="975">
        <v>132551</v>
      </c>
      <c r="L58" s="975">
        <v>178137.75</v>
      </c>
      <c r="M58" s="975">
        <v>211136.01</v>
      </c>
      <c r="N58" s="975">
        <v>205144.09</v>
      </c>
      <c r="O58" s="975">
        <v>131287.34</v>
      </c>
      <c r="P58" s="975">
        <v>160493.45000000001</v>
      </c>
      <c r="Q58" s="975">
        <v>146426.71</v>
      </c>
      <c r="R58" s="975">
        <f>'Payment T&amp;T LAWSON'!N43</f>
        <v>173892.39</v>
      </c>
    </row>
    <row r="59" spans="1:18" x14ac:dyDescent="0.3">
      <c r="A59" s="974" t="s">
        <v>94</v>
      </c>
      <c r="B59" s="975">
        <v>7771.18</v>
      </c>
      <c r="C59" s="975">
        <v>7979.27</v>
      </c>
      <c r="D59" s="975">
        <v>6593.28</v>
      </c>
      <c r="E59" s="975">
        <v>6928.08</v>
      </c>
      <c r="F59" s="975">
        <v>8099.12</v>
      </c>
      <c r="G59" s="975">
        <v>7184.39</v>
      </c>
      <c r="H59" s="975">
        <v>8319.4599999999991</v>
      </c>
      <c r="I59" s="975">
        <v>10481.65</v>
      </c>
      <c r="J59" s="975">
        <v>9215.4</v>
      </c>
      <c r="K59" s="975">
        <v>7315.2</v>
      </c>
      <c r="L59" s="975">
        <v>8697.5</v>
      </c>
      <c r="M59" s="975">
        <v>10887</v>
      </c>
      <c r="N59" s="975">
        <v>10527.8</v>
      </c>
      <c r="O59" s="975">
        <v>8996.4</v>
      </c>
      <c r="P59" s="975">
        <v>12437.2</v>
      </c>
      <c r="Q59" s="975">
        <v>10228.719999999999</v>
      </c>
      <c r="R59" s="975">
        <f>'Payment T&amp;T LAWSON'!N44</f>
        <v>5960.75</v>
      </c>
    </row>
    <row r="60" spans="1:18" x14ac:dyDescent="0.3">
      <c r="A60" s="974" t="s">
        <v>159</v>
      </c>
      <c r="B60" s="975">
        <v>15409.71</v>
      </c>
      <c r="C60" s="975">
        <v>15822.33</v>
      </c>
      <c r="D60" s="975">
        <v>15984.64</v>
      </c>
      <c r="E60" s="975">
        <v>15967.68</v>
      </c>
      <c r="F60" s="975">
        <v>18035.2</v>
      </c>
      <c r="G60" s="975">
        <v>14745.64</v>
      </c>
      <c r="H60" s="975">
        <v>16508.21</v>
      </c>
      <c r="I60" s="975">
        <v>19159.71</v>
      </c>
      <c r="J60" s="975">
        <v>18322.8</v>
      </c>
      <c r="K60" s="975">
        <v>19414.8</v>
      </c>
      <c r="L60" s="975">
        <v>22544.5</v>
      </c>
      <c r="M60" s="975">
        <v>24251.7</v>
      </c>
      <c r="N60" s="975">
        <v>22311.599999999999</v>
      </c>
      <c r="O60" s="975">
        <v>23871</v>
      </c>
      <c r="P60" s="975">
        <v>26420.1</v>
      </c>
      <c r="Q60" s="975">
        <v>21351.42</v>
      </c>
      <c r="R60" s="975">
        <f>'Payment T&amp;T LAWSON'!N45</f>
        <v>30823.5</v>
      </c>
    </row>
    <row r="61" spans="1:18" x14ac:dyDescent="0.3">
      <c r="A61" s="974" t="s">
        <v>95</v>
      </c>
      <c r="B61" s="975">
        <v>118454.77</v>
      </c>
      <c r="C61" s="975">
        <v>99405.31</v>
      </c>
      <c r="D61" s="975">
        <v>160817.66</v>
      </c>
      <c r="E61" s="975">
        <v>179451.45</v>
      </c>
      <c r="F61" s="975">
        <v>195542.06</v>
      </c>
      <c r="G61" s="975">
        <v>133198.01</v>
      </c>
      <c r="H61" s="975">
        <v>123601.97</v>
      </c>
      <c r="I61" s="975">
        <v>62466.74</v>
      </c>
      <c r="J61" s="975">
        <v>68411.100000000006</v>
      </c>
      <c r="K61" s="975">
        <v>88618.84</v>
      </c>
      <c r="L61" s="975">
        <v>85930.74</v>
      </c>
      <c r="M61" s="975">
        <v>67647.17</v>
      </c>
      <c r="N61" s="975">
        <v>62737.599999999999</v>
      </c>
      <c r="O61" s="975">
        <v>40475.870000000003</v>
      </c>
      <c r="P61" s="975">
        <v>55786</v>
      </c>
      <c r="Q61" s="975">
        <v>70056.679999999993</v>
      </c>
      <c r="R61" s="975">
        <f>'Payment T&amp;T LAWSON'!N46</f>
        <v>59052.51</v>
      </c>
    </row>
    <row r="62" spans="1:18" x14ac:dyDescent="0.3">
      <c r="A62" s="974" t="s">
        <v>110</v>
      </c>
      <c r="B62" s="975">
        <v>7129.39</v>
      </c>
      <c r="C62" s="975">
        <v>7320.3</v>
      </c>
      <c r="D62" s="975">
        <v>7725.08</v>
      </c>
      <c r="E62" s="975">
        <v>8011.68</v>
      </c>
      <c r="F62" s="975">
        <v>3790.08</v>
      </c>
      <c r="G62" s="975">
        <v>1730.49</v>
      </c>
      <c r="H62" s="975">
        <v>1415.47</v>
      </c>
      <c r="I62" s="975">
        <v>8953.99</v>
      </c>
      <c r="J62" s="975">
        <v>11457</v>
      </c>
      <c r="K62" s="975">
        <v>7235.6</v>
      </c>
      <c r="L62" s="975">
        <v>6209.8</v>
      </c>
      <c r="M62" s="975">
        <v>3540</v>
      </c>
      <c r="N62" s="975">
        <v>6008</v>
      </c>
      <c r="O62" s="975">
        <v>6855</v>
      </c>
      <c r="P62" s="975">
        <v>9013</v>
      </c>
      <c r="Q62" s="975">
        <v>6834.15</v>
      </c>
      <c r="R62" s="975">
        <f>'Payment T&amp;T LAWSON'!N47</f>
        <v>8437.1</v>
      </c>
    </row>
    <row r="63" spans="1:18" x14ac:dyDescent="0.3">
      <c r="A63" s="974" t="s">
        <v>682</v>
      </c>
      <c r="B63" s="975">
        <v>6511.35</v>
      </c>
      <c r="C63" s="975">
        <v>6685.71</v>
      </c>
      <c r="D63" s="975">
        <v>4744</v>
      </c>
      <c r="E63" s="975">
        <v>7650.4</v>
      </c>
      <c r="F63" s="975">
        <v>23040.06</v>
      </c>
      <c r="G63" s="975">
        <v>4959.66</v>
      </c>
      <c r="H63" s="975">
        <v>4280.1400000000003</v>
      </c>
      <c r="I63" s="975">
        <v>5893.9</v>
      </c>
      <c r="J63" s="975">
        <v>7509</v>
      </c>
      <c r="K63" s="975">
        <v>9393.2000000000007</v>
      </c>
      <c r="L63" s="975">
        <v>8301</v>
      </c>
      <c r="M63" s="975">
        <v>8558</v>
      </c>
      <c r="N63" s="975">
        <v>6996</v>
      </c>
      <c r="O63" s="975">
        <v>6881</v>
      </c>
      <c r="P63" s="975">
        <v>4704</v>
      </c>
      <c r="Q63" s="975">
        <v>3591.29</v>
      </c>
      <c r="R63" s="975">
        <f>'Payment T&amp;T LAWSON'!N48</f>
        <v>1808</v>
      </c>
    </row>
    <row r="64" spans="1:18" x14ac:dyDescent="0.3">
      <c r="A64" s="974" t="s">
        <v>131</v>
      </c>
      <c r="B64" s="975">
        <v>5377.72</v>
      </c>
      <c r="C64" s="975">
        <v>5521.71</v>
      </c>
      <c r="D64" s="975">
        <v>5728.32</v>
      </c>
      <c r="E64" s="975">
        <v>3533.76</v>
      </c>
      <c r="F64" s="975">
        <v>5656.32</v>
      </c>
      <c r="G64" s="975">
        <v>3003.74</v>
      </c>
      <c r="H64" s="975">
        <v>2179.2199999999998</v>
      </c>
      <c r="I64" s="975">
        <v>5929.32</v>
      </c>
      <c r="J64" s="975">
        <v>8683.2000000000007</v>
      </c>
      <c r="K64" s="975">
        <v>6822</v>
      </c>
      <c r="L64" s="975">
        <v>6231.6</v>
      </c>
      <c r="M64" s="975">
        <v>6894</v>
      </c>
      <c r="N64" s="975">
        <v>2505.6</v>
      </c>
      <c r="O64" s="975">
        <v>7113.6</v>
      </c>
      <c r="P64" s="975">
        <v>8560.7999999999993</v>
      </c>
      <c r="Q64" s="975">
        <v>3998.61</v>
      </c>
      <c r="R64" s="975">
        <f>'Payment T&amp;T LAWSON'!N49</f>
        <v>2998.8</v>
      </c>
    </row>
    <row r="65" spans="1:18" x14ac:dyDescent="0.3">
      <c r="A65" s="974" t="s">
        <v>118</v>
      </c>
      <c r="B65" s="975">
        <v>95953.19</v>
      </c>
      <c r="C65" s="975">
        <v>98522.51</v>
      </c>
      <c r="D65" s="975">
        <v>134585.98000000001</v>
      </c>
      <c r="E65" s="975">
        <v>142042.12</v>
      </c>
      <c r="F65" s="975">
        <v>140718.14000000001</v>
      </c>
      <c r="G65" s="975">
        <v>139336.67000000001</v>
      </c>
      <c r="H65" s="975">
        <v>154207.85999999999</v>
      </c>
      <c r="I65" s="975">
        <v>162862.15</v>
      </c>
      <c r="J65" s="975">
        <v>207818.88</v>
      </c>
      <c r="K65" s="975">
        <v>171755.17</v>
      </c>
      <c r="L65" s="975">
        <v>204407.86</v>
      </c>
      <c r="M65" s="975">
        <v>195282.58</v>
      </c>
      <c r="N65" s="975">
        <v>196859.35</v>
      </c>
      <c r="O65" s="975">
        <v>188234.79</v>
      </c>
      <c r="P65" s="975">
        <v>226314.85</v>
      </c>
      <c r="Q65" s="975">
        <v>232574.24</v>
      </c>
      <c r="R65" s="975">
        <f>'Payment T&amp;T LAWSON'!N50</f>
        <v>192952.23</v>
      </c>
    </row>
    <row r="66" spans="1:18" x14ac:dyDescent="0.3">
      <c r="A66" s="974" t="s">
        <v>683</v>
      </c>
      <c r="B66" s="975">
        <v>13483.21</v>
      </c>
      <c r="C66" s="975">
        <v>13844.25</v>
      </c>
      <c r="D66" s="975">
        <v>12948.48</v>
      </c>
      <c r="E66" s="975">
        <v>12108.8</v>
      </c>
      <c r="F66" s="975">
        <v>5431.2</v>
      </c>
      <c r="G66" s="975">
        <v>8257.89</v>
      </c>
      <c r="H66" s="975">
        <v>5776.92</v>
      </c>
      <c r="I66" s="975">
        <v>6896.96</v>
      </c>
      <c r="J66" s="975">
        <v>8721</v>
      </c>
      <c r="K66" s="975">
        <v>10140</v>
      </c>
      <c r="L66" s="975">
        <v>8142</v>
      </c>
      <c r="M66" s="975">
        <v>5598</v>
      </c>
      <c r="N66" s="975">
        <v>4683</v>
      </c>
      <c r="O66" s="975">
        <v>7200</v>
      </c>
      <c r="P66" s="975">
        <v>6936.6</v>
      </c>
      <c r="Q66" s="975">
        <v>4885.93</v>
      </c>
      <c r="R66" s="975">
        <f>'Payment T&amp;T LAWSON'!N51</f>
        <v>6088.2</v>
      </c>
    </row>
    <row r="67" spans="1:18" x14ac:dyDescent="0.3">
      <c r="A67" s="974" t="s">
        <v>114</v>
      </c>
      <c r="B67" s="975">
        <v>10629.94</v>
      </c>
      <c r="C67" s="975">
        <v>10914.58</v>
      </c>
      <c r="D67" s="975">
        <v>12901.44</v>
      </c>
      <c r="E67" s="975">
        <v>13018.56</v>
      </c>
      <c r="F67" s="975">
        <v>11882.24</v>
      </c>
      <c r="G67" s="975">
        <v>9524.89</v>
      </c>
      <c r="H67" s="975">
        <v>8288.02</v>
      </c>
      <c r="I67" s="975">
        <v>9093.16</v>
      </c>
      <c r="J67" s="975">
        <v>10908.8</v>
      </c>
      <c r="K67" s="975">
        <v>12417.6</v>
      </c>
      <c r="L67" s="975">
        <v>14713.6</v>
      </c>
      <c r="M67" s="975">
        <v>17155.2</v>
      </c>
      <c r="N67" s="975">
        <v>17251.2</v>
      </c>
      <c r="O67" s="975">
        <v>15180.8</v>
      </c>
      <c r="P67" s="975">
        <v>17704</v>
      </c>
      <c r="Q67" s="975">
        <v>9821.0499999999993</v>
      </c>
      <c r="R67" s="975">
        <f>'Payment T&amp;T LAWSON'!N52</f>
        <v>9203.2000000000007</v>
      </c>
    </row>
    <row r="68" spans="1:18" x14ac:dyDescent="0.3">
      <c r="A68" s="974" t="s">
        <v>102</v>
      </c>
      <c r="B68" s="975">
        <v>104782.26</v>
      </c>
      <c r="C68" s="975">
        <v>107587.99</v>
      </c>
      <c r="D68" s="975">
        <v>56963.199999999997</v>
      </c>
      <c r="E68" s="975">
        <v>61820.68</v>
      </c>
      <c r="F68" s="975">
        <v>35228.089999999997</v>
      </c>
      <c r="G68" s="975">
        <v>75792.45</v>
      </c>
      <c r="H68" s="975">
        <v>111534.98</v>
      </c>
      <c r="I68" s="975">
        <v>114602.2</v>
      </c>
      <c r="J68" s="975">
        <v>73022.850000000006</v>
      </c>
      <c r="K68" s="975">
        <v>54326.15</v>
      </c>
      <c r="L68" s="975">
        <v>42168.76</v>
      </c>
      <c r="M68" s="975">
        <v>48831.41</v>
      </c>
      <c r="N68" s="975">
        <v>37929.589999999997</v>
      </c>
      <c r="O68" s="975">
        <v>21040.55</v>
      </c>
      <c r="P68" s="975">
        <v>83269.72</v>
      </c>
      <c r="Q68" s="975">
        <v>86827.5</v>
      </c>
      <c r="R68" s="975">
        <f>'Payment T&amp;T LAWSON'!N53</f>
        <v>70132.86</v>
      </c>
    </row>
    <row r="69" spans="1:18" x14ac:dyDescent="0.3">
      <c r="A69" s="974" t="s">
        <v>81</v>
      </c>
      <c r="B69" s="975">
        <v>7025.4</v>
      </c>
      <c r="C69" s="975">
        <v>7213.52</v>
      </c>
      <c r="D69" s="975">
        <v>13970.72</v>
      </c>
      <c r="E69" s="975">
        <v>12400.8</v>
      </c>
      <c r="F69" s="975">
        <v>39304.800000000003</v>
      </c>
      <c r="G69" s="975">
        <v>33268.44</v>
      </c>
      <c r="H69" s="975">
        <v>31646.11</v>
      </c>
      <c r="I69" s="975">
        <v>10994.6</v>
      </c>
      <c r="J69" s="975">
        <v>12323</v>
      </c>
      <c r="K69" s="975">
        <v>13967.6</v>
      </c>
      <c r="L69" s="975">
        <v>18726.599999999999</v>
      </c>
      <c r="M69" s="975">
        <v>15122</v>
      </c>
      <c r="N69" s="975">
        <v>18822.2</v>
      </c>
      <c r="O69" s="975">
        <v>10337.799999999999</v>
      </c>
      <c r="P69" s="975">
        <v>6695.4</v>
      </c>
      <c r="Q69" s="975">
        <v>5814.15</v>
      </c>
      <c r="R69" s="975">
        <f>'Payment T&amp;T LAWSON'!N54</f>
        <v>7413.2</v>
      </c>
    </row>
    <row r="70" spans="1:18" x14ac:dyDescent="0.3">
      <c r="A70" s="974" t="s">
        <v>111</v>
      </c>
      <c r="B70" s="975">
        <v>3362.13</v>
      </c>
      <c r="C70" s="975">
        <v>3452.15</v>
      </c>
      <c r="D70" s="975">
        <v>4244.4799999999996</v>
      </c>
      <c r="E70" s="975">
        <v>3669.6</v>
      </c>
      <c r="F70" s="975">
        <v>5023.3</v>
      </c>
      <c r="G70" s="975">
        <v>3400.17</v>
      </c>
      <c r="H70" s="975">
        <v>2154.52</v>
      </c>
      <c r="I70" s="975">
        <v>3833.19</v>
      </c>
      <c r="J70" s="975">
        <v>4399</v>
      </c>
      <c r="K70" s="975">
        <v>4610.3999999999996</v>
      </c>
      <c r="L70" s="975">
        <v>3123</v>
      </c>
      <c r="M70" s="975">
        <v>2550.6</v>
      </c>
      <c r="N70" s="975">
        <v>2773.6</v>
      </c>
      <c r="O70" s="975">
        <v>3754.2</v>
      </c>
      <c r="P70" s="975">
        <v>4255.3999999999996</v>
      </c>
      <c r="Q70" s="975">
        <v>4636.7</v>
      </c>
      <c r="R70" s="975">
        <f>'Payment T&amp;T LAWSON'!N56</f>
        <v>1965.6</v>
      </c>
    </row>
    <row r="71" spans="1:18" x14ac:dyDescent="0.3">
      <c r="A71" s="974" t="s">
        <v>108</v>
      </c>
      <c r="B71" s="975">
        <v>14011.46</v>
      </c>
      <c r="C71" s="975">
        <v>14386.64</v>
      </c>
      <c r="D71" s="975">
        <v>31206.36</v>
      </c>
      <c r="E71" s="975">
        <v>23807.06</v>
      </c>
      <c r="F71" s="975">
        <v>8921.7199999999993</v>
      </c>
      <c r="G71" s="975">
        <v>11526.45</v>
      </c>
      <c r="H71" s="975">
        <v>11113.9</v>
      </c>
      <c r="I71" s="975">
        <v>9381.08</v>
      </c>
      <c r="J71" s="975">
        <v>14669.4</v>
      </c>
      <c r="K71" s="975">
        <v>20719.2</v>
      </c>
      <c r="L71" s="975">
        <v>18476.8</v>
      </c>
      <c r="M71" s="975">
        <v>15870.6</v>
      </c>
      <c r="N71" s="975">
        <v>15009.2</v>
      </c>
      <c r="O71" s="975">
        <v>19067.599999999999</v>
      </c>
      <c r="P71" s="975">
        <v>17295.2</v>
      </c>
      <c r="Q71" s="975">
        <v>17507.64</v>
      </c>
      <c r="R71" s="975">
        <f>'Payment T&amp;T LAWSON'!N57</f>
        <v>10166.4</v>
      </c>
    </row>
    <row r="72" spans="1:18" x14ac:dyDescent="0.3">
      <c r="A72" s="974" t="s">
        <v>755</v>
      </c>
      <c r="B72" s="975">
        <v>16052.47</v>
      </c>
      <c r="C72" s="975">
        <v>16232.24</v>
      </c>
      <c r="D72" s="975">
        <v>12366.1</v>
      </c>
      <c r="E72" s="975">
        <v>8109.12</v>
      </c>
      <c r="F72" s="975">
        <v>9174.7199999999993</v>
      </c>
      <c r="G72" s="975">
        <v>13742.79</v>
      </c>
      <c r="H72" s="975">
        <v>10719.73</v>
      </c>
      <c r="I72" s="975">
        <v>8361.57</v>
      </c>
      <c r="J72" s="975">
        <v>12811.2</v>
      </c>
      <c r="K72" s="975">
        <v>20979</v>
      </c>
      <c r="L72" s="975">
        <v>18393.689999999999</v>
      </c>
      <c r="M72" s="975">
        <v>12034.2</v>
      </c>
      <c r="N72" s="975">
        <v>13201.2</v>
      </c>
      <c r="O72" s="975">
        <v>12547.2</v>
      </c>
      <c r="P72" s="975">
        <v>15570</v>
      </c>
      <c r="Q72" s="975">
        <v>13981.7</v>
      </c>
      <c r="R72" s="975">
        <f>'Payment T&amp;T LAWSON'!N58</f>
        <v>18035.400000000001</v>
      </c>
    </row>
    <row r="73" spans="1:18" x14ac:dyDescent="0.3">
      <c r="A73" s="974" t="s">
        <v>134</v>
      </c>
      <c r="B73" s="975">
        <v>122070.85</v>
      </c>
      <c r="C73" s="975">
        <v>120152.69</v>
      </c>
      <c r="D73" s="975">
        <v>88022.68</v>
      </c>
      <c r="E73" s="975">
        <v>94171.91</v>
      </c>
      <c r="F73" s="975">
        <v>45944.37</v>
      </c>
      <c r="G73" s="975">
        <v>73375.89</v>
      </c>
      <c r="H73" s="975">
        <v>41823.56</v>
      </c>
      <c r="I73" s="975">
        <v>76627.47</v>
      </c>
      <c r="J73" s="975">
        <v>63560.5</v>
      </c>
      <c r="K73" s="975">
        <v>63037.2</v>
      </c>
      <c r="L73" s="975">
        <v>57324.74</v>
      </c>
      <c r="M73" s="975">
        <v>38767.230000000003</v>
      </c>
      <c r="N73" s="975">
        <v>34582.699999999997</v>
      </c>
      <c r="O73" s="975">
        <v>54703.43</v>
      </c>
      <c r="P73" s="975">
        <v>34200.5</v>
      </c>
      <c r="Q73" s="975">
        <v>15072.06</v>
      </c>
      <c r="R73" s="975">
        <f>'Payment T&amp;T LAWSON'!N59</f>
        <v>3726.37</v>
      </c>
    </row>
    <row r="74" spans="1:18" x14ac:dyDescent="0.3">
      <c r="A74" s="974" t="s">
        <v>142</v>
      </c>
      <c r="B74" s="975">
        <v>18768.650000000001</v>
      </c>
      <c r="C74" s="975">
        <v>19271.21</v>
      </c>
      <c r="D74" s="975">
        <v>38635.75</v>
      </c>
      <c r="E74" s="975">
        <v>62757.86</v>
      </c>
      <c r="F74" s="975">
        <v>41660.26</v>
      </c>
      <c r="G74" s="975">
        <v>24620.57</v>
      </c>
      <c r="H74" s="975">
        <v>25305.23</v>
      </c>
      <c r="I74" s="975">
        <v>42528.43</v>
      </c>
      <c r="J74" s="975">
        <v>28147.67</v>
      </c>
      <c r="K74" s="975">
        <v>25630.48</v>
      </c>
      <c r="L74" s="975">
        <v>22028.52</v>
      </c>
      <c r="M74" s="975">
        <v>14434.42</v>
      </c>
      <c r="N74" s="975">
        <v>10720.31</v>
      </c>
      <c r="O74" s="975">
        <v>7778.15</v>
      </c>
      <c r="P74" s="975">
        <v>19474.240000000002</v>
      </c>
      <c r="Q74" s="975">
        <v>18380.3</v>
      </c>
      <c r="R74" s="975">
        <f>'Payment T&amp;T LAWSON'!N60</f>
        <v>11179.11</v>
      </c>
    </row>
    <row r="75" spans="1:18" x14ac:dyDescent="0.3">
      <c r="A75" s="974" t="s">
        <v>694</v>
      </c>
      <c r="B75" s="975">
        <v>89677.91</v>
      </c>
      <c r="C75" s="975">
        <v>92277.21</v>
      </c>
      <c r="D75" s="975">
        <v>110581.03</v>
      </c>
      <c r="E75" s="975">
        <v>102298.24000000001</v>
      </c>
      <c r="F75" s="975">
        <v>96724.68</v>
      </c>
      <c r="G75" s="975">
        <v>106084.65</v>
      </c>
      <c r="H75" s="975">
        <v>105380.05</v>
      </c>
      <c r="I75" s="975">
        <v>89169.2</v>
      </c>
      <c r="J75" s="975">
        <v>184850.78</v>
      </c>
      <c r="K75" s="975">
        <v>251958.71</v>
      </c>
      <c r="L75" s="975">
        <v>267336.48</v>
      </c>
      <c r="M75" s="975">
        <v>305079.40000000002</v>
      </c>
      <c r="N75" s="975">
        <v>301758.94</v>
      </c>
      <c r="O75" s="975">
        <v>351944.94</v>
      </c>
      <c r="P75" s="975">
        <v>336671.74</v>
      </c>
      <c r="Q75" s="975">
        <v>405822.43</v>
      </c>
      <c r="R75" s="975">
        <f>'Payment T&amp;T LAWSON'!N61</f>
        <v>343828.88</v>
      </c>
    </row>
    <row r="76" spans="1:18" x14ac:dyDescent="0.3">
      <c r="A76" s="974" t="s">
        <v>99</v>
      </c>
      <c r="B76" s="975">
        <v>2370.0300000000002</v>
      </c>
      <c r="C76" s="975">
        <v>2433.4899999999998</v>
      </c>
      <c r="D76" s="975">
        <v>0</v>
      </c>
      <c r="E76" s="975">
        <v>0</v>
      </c>
      <c r="F76" s="975">
        <v>0</v>
      </c>
      <c r="G76" s="975">
        <v>0</v>
      </c>
      <c r="H76" s="975">
        <v>0</v>
      </c>
      <c r="I76" s="975">
        <v>4299.04</v>
      </c>
      <c r="J76" s="975">
        <v>0</v>
      </c>
      <c r="K76" s="975">
        <v>0</v>
      </c>
      <c r="L76" s="975">
        <v>0</v>
      </c>
      <c r="M76" s="975">
        <v>0</v>
      </c>
      <c r="N76" s="975">
        <v>0</v>
      </c>
      <c r="O76" s="975">
        <v>3606.18</v>
      </c>
      <c r="P76" s="975">
        <v>4118.66</v>
      </c>
      <c r="Q76" s="975">
        <v>0</v>
      </c>
      <c r="R76" s="975">
        <f>'Payment T&amp;T LAWSON'!N62</f>
        <v>3726.37</v>
      </c>
    </row>
    <row r="77" spans="1:18" x14ac:dyDescent="0.3">
      <c r="A77" s="974" t="s">
        <v>100</v>
      </c>
      <c r="B77" s="975">
        <v>8780.17</v>
      </c>
      <c r="C77" s="975">
        <v>9015.2800000000007</v>
      </c>
      <c r="D77" s="975">
        <v>7483.2</v>
      </c>
      <c r="E77" s="975">
        <v>3403.2</v>
      </c>
      <c r="F77" s="975">
        <v>3600</v>
      </c>
      <c r="G77" s="975">
        <v>2994.16</v>
      </c>
      <c r="H77" s="975">
        <v>1922.63</v>
      </c>
      <c r="I77" s="975">
        <v>4172.6499999999996</v>
      </c>
      <c r="J77" s="975">
        <v>9687</v>
      </c>
      <c r="K77" s="975">
        <v>7365</v>
      </c>
      <c r="L77" s="975">
        <v>6534</v>
      </c>
      <c r="M77" s="975">
        <v>3585</v>
      </c>
      <c r="N77" s="975">
        <v>8803.5</v>
      </c>
      <c r="O77" s="975">
        <v>11529</v>
      </c>
      <c r="P77" s="975">
        <v>8211</v>
      </c>
      <c r="Q77" s="975">
        <v>3784.32</v>
      </c>
      <c r="R77" s="975">
        <f>'Payment T&amp;T LAWSON'!N63</f>
        <v>8017.5</v>
      </c>
    </row>
    <row r="78" spans="1:18" x14ac:dyDescent="0.3">
      <c r="A78" s="974" t="s">
        <v>493</v>
      </c>
      <c r="B78" s="975">
        <v>0</v>
      </c>
      <c r="C78" s="975">
        <v>0</v>
      </c>
      <c r="D78" s="975">
        <v>0</v>
      </c>
      <c r="E78" s="975">
        <v>0</v>
      </c>
      <c r="F78" s="975">
        <v>0</v>
      </c>
      <c r="G78" s="975">
        <v>0</v>
      </c>
      <c r="H78" s="975">
        <v>278.27999999999997</v>
      </c>
      <c r="I78" s="980">
        <v>-278.27999999999997</v>
      </c>
      <c r="J78" s="975">
        <v>0</v>
      </c>
      <c r="K78" s="975">
        <v>1176</v>
      </c>
      <c r="L78" s="975">
        <v>376.8</v>
      </c>
      <c r="M78" s="975">
        <v>0</v>
      </c>
      <c r="N78" s="975">
        <v>0</v>
      </c>
      <c r="O78" s="975">
        <v>324</v>
      </c>
      <c r="P78" s="975">
        <v>474</v>
      </c>
      <c r="Q78" s="975">
        <v>0</v>
      </c>
      <c r="R78" s="975">
        <f>'Payment T&amp;T LAWSON'!N64</f>
        <v>258</v>
      </c>
    </row>
    <row r="79" spans="1:18" x14ac:dyDescent="0.3">
      <c r="A79" s="974" t="s">
        <v>70</v>
      </c>
      <c r="B79" s="975">
        <v>5883.19</v>
      </c>
      <c r="C79" s="975">
        <v>6040.73</v>
      </c>
      <c r="D79" s="975">
        <v>3205.12</v>
      </c>
      <c r="E79" s="975">
        <v>6385.12</v>
      </c>
      <c r="F79" s="975">
        <v>22042.639999999999</v>
      </c>
      <c r="G79" s="975">
        <v>4200.74</v>
      </c>
      <c r="H79" s="975">
        <v>1222.8499999999999</v>
      </c>
      <c r="I79" s="975">
        <v>2405.12</v>
      </c>
      <c r="J79" s="975">
        <v>4432.6000000000004</v>
      </c>
      <c r="K79" s="975">
        <v>3938.8</v>
      </c>
      <c r="L79" s="975">
        <v>5089.3999999999996</v>
      </c>
      <c r="M79" s="975">
        <v>5430.6</v>
      </c>
      <c r="N79" s="975">
        <v>6360.8</v>
      </c>
      <c r="O79" s="975">
        <v>6494.4</v>
      </c>
      <c r="P79" s="975">
        <v>1965</v>
      </c>
      <c r="Q79" s="975">
        <v>1636.97</v>
      </c>
      <c r="R79" s="975">
        <f>'Payment T&amp;T LAWSON'!N65</f>
        <v>6159.6</v>
      </c>
    </row>
    <row r="80" spans="1:18" x14ac:dyDescent="0.3">
      <c r="A80" s="974" t="s">
        <v>695</v>
      </c>
      <c r="B80" s="975">
        <v>0</v>
      </c>
      <c r="C80" s="975">
        <v>0</v>
      </c>
      <c r="D80" s="975">
        <v>7639.84</v>
      </c>
      <c r="E80" s="975">
        <v>9726.08</v>
      </c>
      <c r="F80" s="975">
        <v>4750.08</v>
      </c>
      <c r="G80" s="975">
        <v>7736.91</v>
      </c>
      <c r="H80" s="975">
        <v>7583.54</v>
      </c>
      <c r="I80" s="975">
        <v>7917.26</v>
      </c>
      <c r="J80" s="975">
        <v>9554.4</v>
      </c>
      <c r="K80" s="975">
        <v>10944</v>
      </c>
      <c r="L80" s="975">
        <v>12204</v>
      </c>
      <c r="M80" s="975">
        <v>10588.8</v>
      </c>
      <c r="N80" s="975">
        <v>10281.6</v>
      </c>
      <c r="O80" s="975">
        <v>10771.2</v>
      </c>
      <c r="P80" s="975">
        <v>10852.8</v>
      </c>
      <c r="Q80" s="975">
        <v>8495.91</v>
      </c>
      <c r="R80" s="975">
        <f>'Payment T&amp;T LAWSON'!N66</f>
        <v>14983.2</v>
      </c>
    </row>
    <row r="81" spans="1:18" x14ac:dyDescent="0.3">
      <c r="A81" s="974" t="s">
        <v>115</v>
      </c>
      <c r="B81" s="975">
        <v>18749.21</v>
      </c>
      <c r="C81" s="975">
        <v>19251.25</v>
      </c>
      <c r="D81" s="975">
        <v>20144.32</v>
      </c>
      <c r="E81" s="975">
        <v>21427.84</v>
      </c>
      <c r="F81" s="975">
        <v>21259.200000000001</v>
      </c>
      <c r="G81" s="975">
        <v>18503.64</v>
      </c>
      <c r="H81" s="975">
        <v>15357.41</v>
      </c>
      <c r="I81" s="975">
        <v>17889.8</v>
      </c>
      <c r="J81" s="975">
        <v>22100.400000000001</v>
      </c>
      <c r="K81" s="975">
        <v>27465.200000000001</v>
      </c>
      <c r="L81" s="975">
        <v>29187.200000000001</v>
      </c>
      <c r="M81" s="975">
        <v>18589.2</v>
      </c>
      <c r="N81" s="975">
        <v>18939.2</v>
      </c>
      <c r="O81" s="975">
        <v>19283.599999999999</v>
      </c>
      <c r="P81" s="975">
        <v>18670.400000000001</v>
      </c>
      <c r="Q81" s="975">
        <v>15736.06</v>
      </c>
      <c r="R81" s="975">
        <f>'Payment T&amp;T LAWSON'!N67</f>
        <v>16965.099999999999</v>
      </c>
    </row>
    <row r="82" spans="1:18" x14ac:dyDescent="0.3">
      <c r="A82" s="974" t="s">
        <v>756</v>
      </c>
      <c r="B82" s="975">
        <v>21808.51</v>
      </c>
      <c r="C82" s="975">
        <v>22392.48</v>
      </c>
      <c r="D82" s="975">
        <v>10721.39</v>
      </c>
      <c r="E82" s="975">
        <v>11843.04</v>
      </c>
      <c r="F82" s="975">
        <v>0</v>
      </c>
      <c r="G82" s="975">
        <v>11646.41</v>
      </c>
      <c r="H82" s="975">
        <v>4386.2700000000004</v>
      </c>
      <c r="I82" s="975">
        <v>34064.06</v>
      </c>
      <c r="J82" s="975">
        <v>20217.47</v>
      </c>
      <c r="K82" s="975">
        <v>6300.45</v>
      </c>
      <c r="L82" s="975">
        <v>6893.02</v>
      </c>
      <c r="M82" s="975">
        <v>9176.34</v>
      </c>
      <c r="N82" s="975">
        <v>18242.11</v>
      </c>
      <c r="O82" s="975">
        <v>31604.92</v>
      </c>
      <c r="P82" s="975">
        <v>29574.48</v>
      </c>
      <c r="Q82" s="975">
        <v>16876.28</v>
      </c>
      <c r="R82" s="975">
        <f>'Payment T&amp;T LAWSON'!N68</f>
        <v>20550.05</v>
      </c>
    </row>
    <row r="83" spans="1:18" x14ac:dyDescent="0.3">
      <c r="A83" s="974" t="s">
        <v>72</v>
      </c>
      <c r="B83" s="975">
        <v>100020.42</v>
      </c>
      <c r="C83" s="975">
        <v>102698.65</v>
      </c>
      <c r="D83" s="975">
        <v>101623.05</v>
      </c>
      <c r="E83" s="975">
        <v>93484.82</v>
      </c>
      <c r="F83" s="975">
        <v>104487.98</v>
      </c>
      <c r="G83" s="975">
        <v>81402.39</v>
      </c>
      <c r="H83" s="975">
        <v>85953.4</v>
      </c>
      <c r="I83" s="975">
        <v>42074.97</v>
      </c>
      <c r="J83" s="975">
        <v>60151.88</v>
      </c>
      <c r="K83" s="975">
        <v>56225.21</v>
      </c>
      <c r="L83" s="975">
        <v>32430.21</v>
      </c>
      <c r="M83" s="975">
        <v>29663.88</v>
      </c>
      <c r="N83" s="975">
        <v>36394.19</v>
      </c>
      <c r="O83" s="975">
        <v>37862.050000000003</v>
      </c>
      <c r="P83" s="975">
        <v>44773.43</v>
      </c>
      <c r="Q83" s="975">
        <v>53755.63</v>
      </c>
      <c r="R83" s="975">
        <f>'Payment T&amp;T LAWSON'!N69</f>
        <v>100932.23</v>
      </c>
    </row>
    <row r="84" spans="1:18" x14ac:dyDescent="0.3">
      <c r="A84" s="974" t="s">
        <v>73</v>
      </c>
      <c r="B84" s="975">
        <v>106648.06</v>
      </c>
      <c r="C84" s="975">
        <v>106199.13</v>
      </c>
      <c r="D84" s="975">
        <v>112846.84</v>
      </c>
      <c r="E84" s="975">
        <v>128536.39</v>
      </c>
      <c r="F84" s="975">
        <v>126146.98</v>
      </c>
      <c r="G84" s="975">
        <v>108979.19</v>
      </c>
      <c r="H84" s="975">
        <v>146788.81</v>
      </c>
      <c r="I84" s="975">
        <v>176757.61</v>
      </c>
      <c r="J84" s="975">
        <v>268960.84999999998</v>
      </c>
      <c r="K84" s="975">
        <v>221047.42</v>
      </c>
      <c r="L84" s="975">
        <v>248236.82</v>
      </c>
      <c r="M84" s="975">
        <v>226988.92</v>
      </c>
      <c r="N84" s="975">
        <v>246915.18</v>
      </c>
      <c r="O84" s="975">
        <v>286258.43</v>
      </c>
      <c r="P84" s="975">
        <v>409908.23</v>
      </c>
      <c r="Q84" s="975">
        <v>555377.46</v>
      </c>
      <c r="R84" s="975">
        <f>'Payment T&amp;T LAWSON'!N71</f>
        <v>659394.28</v>
      </c>
    </row>
    <row r="85" spans="1:18" x14ac:dyDescent="0.3">
      <c r="A85" s="974" t="s">
        <v>687</v>
      </c>
      <c r="B85" s="975">
        <v>20721.73</v>
      </c>
      <c r="C85" s="975">
        <v>22438.13</v>
      </c>
      <c r="D85" s="975">
        <v>24992.23</v>
      </c>
      <c r="E85" s="975">
        <v>27209.96</v>
      </c>
      <c r="F85" s="975">
        <v>27340.77</v>
      </c>
      <c r="G85" s="975">
        <v>20208.580000000002</v>
      </c>
      <c r="H85" s="975">
        <v>18224.13</v>
      </c>
      <c r="I85" s="975">
        <v>22660.13</v>
      </c>
      <c r="J85" s="975">
        <v>28238.400000000001</v>
      </c>
      <c r="K85" s="975">
        <v>27860.400000000001</v>
      </c>
      <c r="L85" s="975">
        <v>25954.2</v>
      </c>
      <c r="M85" s="975">
        <v>28249.200000000001</v>
      </c>
      <c r="N85" s="975">
        <v>26134.2</v>
      </c>
      <c r="O85" s="975">
        <v>29014.05</v>
      </c>
      <c r="P85" s="975">
        <v>32048.25</v>
      </c>
      <c r="Q85" s="975">
        <v>15497.74</v>
      </c>
      <c r="R85" s="975">
        <f>'Payment T&amp;T LAWSON'!N72</f>
        <v>11328.4</v>
      </c>
    </row>
    <row r="86" spans="1:18" x14ac:dyDescent="0.3">
      <c r="A86" s="974" t="s">
        <v>123</v>
      </c>
      <c r="B86" s="975">
        <v>5801.41</v>
      </c>
      <c r="C86" s="975">
        <v>5956.75</v>
      </c>
      <c r="D86" s="975">
        <v>7136</v>
      </c>
      <c r="E86" s="975">
        <v>7900.16</v>
      </c>
      <c r="F86" s="975">
        <v>9588.48</v>
      </c>
      <c r="G86" s="975">
        <v>8814.7999999999993</v>
      </c>
      <c r="H86" s="975">
        <v>12923.53</v>
      </c>
      <c r="I86" s="975">
        <v>12622.31</v>
      </c>
      <c r="J86" s="975">
        <v>14257.6</v>
      </c>
      <c r="K86" s="975">
        <v>15652</v>
      </c>
      <c r="L86" s="975">
        <v>20018.599999999999</v>
      </c>
      <c r="M86" s="975">
        <v>8442</v>
      </c>
      <c r="N86" s="975">
        <v>8681.4</v>
      </c>
      <c r="O86" s="975">
        <v>11023.6</v>
      </c>
      <c r="P86" s="975">
        <v>10463.6</v>
      </c>
      <c r="Q86" s="975">
        <v>7627.42</v>
      </c>
      <c r="R86" s="975">
        <f>'Payment T&amp;T LAWSON'!N73</f>
        <v>9814.7000000000007</v>
      </c>
    </row>
    <row r="87" spans="1:18" x14ac:dyDescent="0.3">
      <c r="A87" s="974" t="s">
        <v>74</v>
      </c>
      <c r="B87" s="975">
        <v>123814.53</v>
      </c>
      <c r="C87" s="975">
        <v>127129.89</v>
      </c>
      <c r="D87" s="975">
        <v>138578.46</v>
      </c>
      <c r="E87" s="975">
        <v>224703.58</v>
      </c>
      <c r="F87" s="975">
        <v>185863.08</v>
      </c>
      <c r="G87" s="975">
        <v>128861.44</v>
      </c>
      <c r="H87" s="975">
        <v>114660.6</v>
      </c>
      <c r="I87" s="975">
        <v>53381.919999999998</v>
      </c>
      <c r="J87" s="975">
        <v>53849.57</v>
      </c>
      <c r="K87" s="975">
        <v>41682.370000000003</v>
      </c>
      <c r="L87" s="975">
        <v>38119.69</v>
      </c>
      <c r="M87" s="975">
        <v>24899.54</v>
      </c>
      <c r="N87" s="975">
        <v>27542.080000000002</v>
      </c>
      <c r="O87" s="975">
        <v>19124.830000000002</v>
      </c>
      <c r="P87" s="975">
        <v>37980.050000000003</v>
      </c>
      <c r="Q87" s="975">
        <v>71828.63</v>
      </c>
      <c r="R87" s="975">
        <f>'Payment T&amp;T LAWSON'!N74</f>
        <v>93175.09</v>
      </c>
    </row>
    <row r="88" spans="1:18" x14ac:dyDescent="0.3">
      <c r="A88" s="974" t="s">
        <v>119</v>
      </c>
      <c r="B88" s="975">
        <v>4645.93</v>
      </c>
      <c r="C88" s="975">
        <v>4770.34</v>
      </c>
      <c r="D88" s="975">
        <v>8052.32</v>
      </c>
      <c r="E88" s="975">
        <v>3915.16</v>
      </c>
      <c r="F88" s="975">
        <v>1524.72</v>
      </c>
      <c r="G88" s="975">
        <v>1159.52</v>
      </c>
      <c r="H88" s="975">
        <v>1826.74</v>
      </c>
      <c r="I88" s="975">
        <v>2197.81</v>
      </c>
      <c r="J88" s="975">
        <v>2329.6</v>
      </c>
      <c r="K88" s="975">
        <v>2332</v>
      </c>
      <c r="L88" s="975">
        <v>5614.21</v>
      </c>
      <c r="M88" s="975">
        <v>4525.7</v>
      </c>
      <c r="N88" s="975">
        <v>4395</v>
      </c>
      <c r="O88" s="975">
        <v>2026.8</v>
      </c>
      <c r="P88" s="975">
        <v>2442.8000000000002</v>
      </c>
      <c r="Q88" s="975">
        <v>1502.29</v>
      </c>
      <c r="R88" s="975">
        <f>'Payment T&amp;T LAWSON'!N75</f>
        <v>2650.6</v>
      </c>
    </row>
    <row r="89" spans="1:18" x14ac:dyDescent="0.3">
      <c r="A89" s="974" t="s">
        <v>235</v>
      </c>
      <c r="B89" s="975">
        <v>0</v>
      </c>
      <c r="C89" s="975">
        <v>0</v>
      </c>
      <c r="D89" s="975">
        <v>2522.88</v>
      </c>
      <c r="E89" s="975">
        <v>106489.56</v>
      </c>
      <c r="F89" s="975">
        <v>0</v>
      </c>
      <c r="G89" s="975">
        <v>50175.99</v>
      </c>
      <c r="H89" s="975">
        <v>42657.74</v>
      </c>
      <c r="I89" s="975">
        <v>44139.97</v>
      </c>
      <c r="J89" s="975">
        <v>11193.5</v>
      </c>
      <c r="K89" s="975">
        <v>11860</v>
      </c>
      <c r="L89" s="975">
        <v>34816.199999999997</v>
      </c>
      <c r="M89" s="975">
        <v>7061.77</v>
      </c>
      <c r="N89" s="975">
        <v>7227.68</v>
      </c>
      <c r="O89" s="975">
        <v>0</v>
      </c>
      <c r="P89" s="975">
        <v>0</v>
      </c>
      <c r="Q89" s="975">
        <v>0</v>
      </c>
      <c r="R89" s="975">
        <f>'Payment T&amp;T LAWSON'!N76</f>
        <v>0</v>
      </c>
    </row>
    <row r="90" spans="1:18" s="729" customFormat="1" x14ac:dyDescent="0.3">
      <c r="A90" s="974" t="s">
        <v>154</v>
      </c>
      <c r="B90" s="975">
        <v>0</v>
      </c>
      <c r="C90" s="975">
        <v>0</v>
      </c>
      <c r="D90" s="975">
        <v>0</v>
      </c>
      <c r="E90" s="975">
        <v>0</v>
      </c>
      <c r="F90" s="975">
        <v>0</v>
      </c>
      <c r="G90" s="975">
        <v>0</v>
      </c>
      <c r="H90" s="975">
        <v>0</v>
      </c>
      <c r="I90" s="975">
        <v>0</v>
      </c>
      <c r="J90" s="975">
        <v>0</v>
      </c>
      <c r="K90" s="975">
        <v>0</v>
      </c>
      <c r="L90" s="975">
        <v>0</v>
      </c>
      <c r="M90" s="975">
        <v>0</v>
      </c>
      <c r="N90" s="975">
        <v>0</v>
      </c>
      <c r="O90" s="975">
        <v>0</v>
      </c>
      <c r="P90" s="975">
        <v>0</v>
      </c>
      <c r="Q90" s="975">
        <v>0</v>
      </c>
      <c r="R90" s="975">
        <f>'Payment T&amp;T LAWSON'!N77</f>
        <v>3882.07</v>
      </c>
    </row>
    <row r="91" spans="1:18" s="729" customFormat="1" x14ac:dyDescent="0.3">
      <c r="A91" s="974" t="s">
        <v>871</v>
      </c>
      <c r="B91" s="975">
        <v>0</v>
      </c>
      <c r="C91" s="975">
        <v>0</v>
      </c>
      <c r="D91" s="975">
        <v>0</v>
      </c>
      <c r="E91" s="975">
        <v>0</v>
      </c>
      <c r="F91" s="975">
        <v>0</v>
      </c>
      <c r="G91" s="975">
        <v>0</v>
      </c>
      <c r="H91" s="975">
        <v>0</v>
      </c>
      <c r="I91" s="975">
        <v>0</v>
      </c>
      <c r="J91" s="975">
        <v>0</v>
      </c>
      <c r="K91" s="975">
        <v>0</v>
      </c>
      <c r="L91" s="975">
        <v>0</v>
      </c>
      <c r="M91" s="975">
        <v>0</v>
      </c>
      <c r="N91" s="975">
        <v>0</v>
      </c>
      <c r="O91" s="975">
        <v>0</v>
      </c>
      <c r="P91" s="975">
        <v>0</v>
      </c>
      <c r="Q91" s="975">
        <v>0</v>
      </c>
      <c r="R91" s="975">
        <f>'Payment T&amp;T LAWSON'!N78</f>
        <v>570</v>
      </c>
    </row>
    <row r="92" spans="1:18" x14ac:dyDescent="0.3">
      <c r="A92" s="974" t="s">
        <v>757</v>
      </c>
      <c r="B92" s="975">
        <v>5969.52</v>
      </c>
      <c r="C92" s="975">
        <v>6129.47</v>
      </c>
      <c r="D92" s="975">
        <v>0</v>
      </c>
      <c r="E92" s="975">
        <v>3302.4</v>
      </c>
      <c r="F92" s="975">
        <v>0</v>
      </c>
      <c r="G92" s="975">
        <v>0</v>
      </c>
      <c r="H92" s="975">
        <v>0</v>
      </c>
      <c r="I92" s="975">
        <v>0</v>
      </c>
      <c r="J92" s="975">
        <v>0</v>
      </c>
      <c r="K92" s="975">
        <v>0</v>
      </c>
      <c r="L92" s="975">
        <v>0</v>
      </c>
      <c r="M92" s="975">
        <v>0</v>
      </c>
      <c r="N92" s="975">
        <v>0</v>
      </c>
      <c r="O92" s="975">
        <v>0</v>
      </c>
      <c r="P92" s="975">
        <v>0</v>
      </c>
      <c r="Q92" s="975">
        <v>0</v>
      </c>
      <c r="R92" s="975">
        <v>0</v>
      </c>
    </row>
    <row r="93" spans="1:18" x14ac:dyDescent="0.3">
      <c r="A93" s="974" t="s">
        <v>105</v>
      </c>
      <c r="B93" s="975">
        <v>6403.57</v>
      </c>
      <c r="C93" s="975">
        <v>6575.04</v>
      </c>
      <c r="D93" s="975">
        <v>1193.28</v>
      </c>
      <c r="E93" s="975">
        <v>1022.72</v>
      </c>
      <c r="F93" s="975">
        <v>84.48</v>
      </c>
      <c r="G93" s="975">
        <v>848.21</v>
      </c>
      <c r="H93" s="975">
        <v>1328.98</v>
      </c>
      <c r="I93" s="975">
        <v>1974.21</v>
      </c>
      <c r="J93" s="975">
        <v>868.8</v>
      </c>
      <c r="K93" s="975">
        <v>1457.6</v>
      </c>
      <c r="L93" s="975">
        <v>650.4</v>
      </c>
      <c r="M93" s="975">
        <v>1716.4</v>
      </c>
      <c r="N93" s="975">
        <v>2069.1999999999998</v>
      </c>
      <c r="O93" s="975">
        <v>492.4</v>
      </c>
      <c r="P93" s="975">
        <v>1516.4</v>
      </c>
      <c r="Q93" s="975">
        <v>1251.81</v>
      </c>
      <c r="R93" s="975">
        <f>'Payment T&amp;T LAWSON'!N79</f>
        <v>1153.2</v>
      </c>
    </row>
    <row r="94" spans="1:18" x14ac:dyDescent="0.3">
      <c r="A94" s="974" t="s">
        <v>109</v>
      </c>
      <c r="B94" s="975">
        <v>17207.02</v>
      </c>
      <c r="C94" s="975">
        <v>17667.759999999998</v>
      </c>
      <c r="D94" s="975">
        <v>27125.439999999999</v>
      </c>
      <c r="E94" s="975">
        <v>30867.200000000001</v>
      </c>
      <c r="F94" s="975">
        <v>20565.759999999998</v>
      </c>
      <c r="G94" s="975">
        <v>12085.09</v>
      </c>
      <c r="H94" s="975">
        <v>11771.03</v>
      </c>
      <c r="I94" s="975">
        <v>14042.08</v>
      </c>
      <c r="J94" s="975">
        <v>20430</v>
      </c>
      <c r="K94" s="975">
        <v>38624.6</v>
      </c>
      <c r="L94" s="975">
        <v>37740.6</v>
      </c>
      <c r="M94" s="975">
        <v>36967.599999999999</v>
      </c>
      <c r="N94" s="975">
        <v>32525.3</v>
      </c>
      <c r="O94" s="975">
        <v>35001.599999999999</v>
      </c>
      <c r="P94" s="975">
        <v>28373.8</v>
      </c>
      <c r="Q94" s="975">
        <v>24740.62</v>
      </c>
      <c r="R94" s="975">
        <f>'Payment T&amp;T LAWSON'!N80</f>
        <v>20433.599999999999</v>
      </c>
    </row>
    <row r="95" spans="1:18" x14ac:dyDescent="0.3">
      <c r="A95" s="974" t="s">
        <v>98</v>
      </c>
      <c r="B95" s="975">
        <v>28990.39</v>
      </c>
      <c r="C95" s="975">
        <v>29766.65</v>
      </c>
      <c r="D95" s="975">
        <v>30610.11</v>
      </c>
      <c r="E95" s="975">
        <v>33522.239999999998</v>
      </c>
      <c r="F95" s="975">
        <v>21581.08</v>
      </c>
      <c r="G95" s="975">
        <v>19026.88</v>
      </c>
      <c r="H95" s="975">
        <v>24580.46</v>
      </c>
      <c r="I95" s="975">
        <v>32140.35</v>
      </c>
      <c r="J95" s="975">
        <v>22638.42</v>
      </c>
      <c r="K95" s="975">
        <v>24994.14</v>
      </c>
      <c r="L95" s="975">
        <v>18359.82</v>
      </c>
      <c r="M95" s="975">
        <v>8096.54</v>
      </c>
      <c r="N95" s="975">
        <v>15356.27</v>
      </c>
      <c r="O95" s="975">
        <v>16329.05</v>
      </c>
      <c r="P95" s="975">
        <v>31026.62</v>
      </c>
      <c r="Q95" s="975">
        <v>26133.57</v>
      </c>
      <c r="R95" s="975">
        <f>'Payment T&amp;T LAWSON'!N81</f>
        <v>0</v>
      </c>
    </row>
    <row r="96" spans="1:18" x14ac:dyDescent="0.3">
      <c r="A96" s="974" t="s">
        <v>758</v>
      </c>
      <c r="B96" s="975">
        <v>46291.64</v>
      </c>
      <c r="C96" s="975">
        <v>47531.18</v>
      </c>
      <c r="D96" s="975">
        <v>78808.679999999993</v>
      </c>
      <c r="E96" s="975">
        <v>110757.86</v>
      </c>
      <c r="F96" s="975">
        <v>70329.17</v>
      </c>
      <c r="G96" s="975">
        <v>82771.44</v>
      </c>
      <c r="H96" s="975">
        <v>77618.460000000006</v>
      </c>
      <c r="I96" s="975">
        <v>62225.05</v>
      </c>
      <c r="J96" s="975">
        <v>69786.33</v>
      </c>
      <c r="K96" s="975">
        <v>85463.07</v>
      </c>
      <c r="L96" s="975">
        <v>106398.99</v>
      </c>
      <c r="M96" s="975">
        <v>134655.6</v>
      </c>
      <c r="N96" s="975">
        <v>126824.43</v>
      </c>
      <c r="O96" s="975">
        <v>72173.87</v>
      </c>
      <c r="P96" s="975">
        <v>124356.15</v>
      </c>
      <c r="Q96" s="975">
        <v>126003.16</v>
      </c>
      <c r="R96" s="975">
        <f>'Payment T&amp;T LAWSON'!N83</f>
        <v>104091.1</v>
      </c>
    </row>
    <row r="97" spans="1:18" x14ac:dyDescent="0.3">
      <c r="A97" s="974" t="s">
        <v>129</v>
      </c>
      <c r="B97" s="975">
        <v>4212.32</v>
      </c>
      <c r="C97" s="975">
        <v>4325.1099999999997</v>
      </c>
      <c r="D97" s="975">
        <v>3034.4</v>
      </c>
      <c r="E97" s="975">
        <v>2681.6</v>
      </c>
      <c r="F97" s="975">
        <v>3022.4</v>
      </c>
      <c r="G97" s="975">
        <v>1640.8</v>
      </c>
      <c r="H97" s="975">
        <v>846.87</v>
      </c>
      <c r="I97" s="975">
        <v>932.04</v>
      </c>
      <c r="J97" s="975">
        <v>1428</v>
      </c>
      <c r="K97" s="975">
        <v>3501</v>
      </c>
      <c r="L97" s="975">
        <v>2018</v>
      </c>
      <c r="M97" s="975">
        <v>3077</v>
      </c>
      <c r="N97" s="975">
        <v>2327</v>
      </c>
      <c r="O97" s="975">
        <v>4226.5</v>
      </c>
      <c r="P97" s="975">
        <v>3644</v>
      </c>
      <c r="Q97" s="975">
        <v>529.78</v>
      </c>
      <c r="R97" s="975">
        <f>'Payment T&amp;T LAWSON'!N84</f>
        <v>1042.5</v>
      </c>
    </row>
    <row r="98" spans="1:18" x14ac:dyDescent="0.3">
      <c r="A98" s="974" t="s">
        <v>122</v>
      </c>
      <c r="B98" s="975">
        <v>1026.98</v>
      </c>
      <c r="C98" s="975">
        <v>1054.48</v>
      </c>
      <c r="D98" s="975">
        <v>0</v>
      </c>
      <c r="E98" s="975">
        <v>0</v>
      </c>
      <c r="F98" s="975">
        <v>0</v>
      </c>
      <c r="G98" s="975">
        <v>0</v>
      </c>
      <c r="H98" s="975">
        <v>0</v>
      </c>
      <c r="I98" s="975">
        <v>0</v>
      </c>
      <c r="J98" s="975">
        <v>0</v>
      </c>
      <c r="K98" s="975">
        <v>0</v>
      </c>
      <c r="L98" s="975">
        <v>0</v>
      </c>
      <c r="M98" s="975">
        <v>0</v>
      </c>
      <c r="N98" s="975">
        <v>0</v>
      </c>
      <c r="O98" s="975">
        <v>0</v>
      </c>
      <c r="P98" s="975">
        <v>0</v>
      </c>
      <c r="Q98" s="975">
        <v>0</v>
      </c>
      <c r="R98" s="975">
        <v>0</v>
      </c>
    </row>
    <row r="99" spans="1:18" x14ac:dyDescent="0.3">
      <c r="A99" s="974" t="s">
        <v>112</v>
      </c>
      <c r="B99" s="975">
        <v>2990.39</v>
      </c>
      <c r="C99" s="975">
        <v>3070.46</v>
      </c>
      <c r="D99" s="975">
        <v>0</v>
      </c>
      <c r="E99" s="975">
        <v>0</v>
      </c>
      <c r="F99" s="975">
        <v>0</v>
      </c>
      <c r="G99" s="975">
        <v>0</v>
      </c>
      <c r="H99" s="975">
        <v>1941.42</v>
      </c>
      <c r="I99" s="975">
        <v>4444.6000000000004</v>
      </c>
      <c r="J99" s="975">
        <v>6825.2</v>
      </c>
      <c r="K99" s="975">
        <v>6557.6</v>
      </c>
      <c r="L99" s="975">
        <v>7674.2</v>
      </c>
      <c r="M99" s="975">
        <v>8154.2</v>
      </c>
      <c r="N99" s="975">
        <v>11180.2</v>
      </c>
      <c r="O99" s="975">
        <v>11201.6</v>
      </c>
      <c r="P99" s="975">
        <v>12509.8</v>
      </c>
      <c r="Q99" s="975">
        <v>14101.33</v>
      </c>
      <c r="R99" s="975">
        <f>'Payment T&amp;T LAWSON'!N85</f>
        <v>18039.400000000001</v>
      </c>
    </row>
    <row r="100" spans="1:18" x14ac:dyDescent="0.3">
      <c r="A100" s="974" t="s">
        <v>84</v>
      </c>
      <c r="B100" s="975">
        <v>13571.47</v>
      </c>
      <c r="C100" s="975">
        <v>13934.87</v>
      </c>
      <c r="D100" s="975">
        <v>14502.88</v>
      </c>
      <c r="E100" s="975">
        <v>13818.56</v>
      </c>
      <c r="F100" s="975">
        <v>11681.6</v>
      </c>
      <c r="G100" s="975">
        <v>12622.98</v>
      </c>
      <c r="H100" s="975">
        <v>5694.52</v>
      </c>
      <c r="I100" s="975">
        <v>14850.6</v>
      </c>
      <c r="J100" s="975">
        <v>17648.400000000001</v>
      </c>
      <c r="K100" s="975">
        <v>18100.599999999999</v>
      </c>
      <c r="L100" s="975">
        <v>13045.2</v>
      </c>
      <c r="M100" s="975">
        <v>14537.6</v>
      </c>
      <c r="N100" s="975">
        <v>15251.6</v>
      </c>
      <c r="O100" s="975">
        <v>17210.2</v>
      </c>
      <c r="P100" s="975">
        <v>15911</v>
      </c>
      <c r="Q100" s="975">
        <v>10452.57</v>
      </c>
      <c r="R100" s="975">
        <f>'Payment T&amp;T LAWSON'!N86</f>
        <v>12234.6</v>
      </c>
    </row>
    <row r="101" spans="1:18" ht="16.2" thickBot="1" x14ac:dyDescent="0.35">
      <c r="A101" s="974" t="s">
        <v>85</v>
      </c>
      <c r="B101" s="975">
        <v>57240</v>
      </c>
      <c r="C101" s="975">
        <v>58772.7</v>
      </c>
      <c r="D101" s="975">
        <v>102267.64</v>
      </c>
      <c r="E101" s="975">
        <v>82377.740000000005</v>
      </c>
      <c r="F101" s="975">
        <v>103766.56</v>
      </c>
      <c r="G101" s="975">
        <v>52336.53</v>
      </c>
      <c r="H101" s="975">
        <v>67608.73</v>
      </c>
      <c r="I101" s="975">
        <v>89651.06</v>
      </c>
      <c r="J101" s="975">
        <v>72709.95</v>
      </c>
      <c r="K101" s="975">
        <v>66426.759999999995</v>
      </c>
      <c r="L101" s="975">
        <v>52165.84</v>
      </c>
      <c r="M101" s="975">
        <v>56714.99</v>
      </c>
      <c r="N101" s="975">
        <v>60078.71</v>
      </c>
      <c r="O101" s="975">
        <v>31837.14</v>
      </c>
      <c r="P101" s="975">
        <v>68197.05</v>
      </c>
      <c r="Q101" s="975">
        <v>35235.14</v>
      </c>
      <c r="R101" s="975">
        <f>'Payment T&amp;T LAWSON'!N87</f>
        <v>58742.28</v>
      </c>
    </row>
    <row r="102" spans="1:18" ht="16.2" thickBot="1" x14ac:dyDescent="0.35">
      <c r="A102" s="702" t="s">
        <v>760</v>
      </c>
      <c r="B102" s="703">
        <v>5122634.22</v>
      </c>
      <c r="C102" s="703">
        <v>5122634.33</v>
      </c>
      <c r="D102" s="703">
        <v>6552172.2000000002</v>
      </c>
      <c r="E102" s="703">
        <v>7228712.3600000003</v>
      </c>
      <c r="F102" s="703">
        <v>7419843.1200000001</v>
      </c>
      <c r="G102" s="703">
        <v>6951047.5199999996</v>
      </c>
      <c r="H102" s="703">
        <v>6900000</v>
      </c>
      <c r="I102" s="703">
        <v>6900000</v>
      </c>
      <c r="J102" s="703">
        <v>7422619</v>
      </c>
      <c r="K102" s="703">
        <v>7027000</v>
      </c>
      <c r="L102" s="703">
        <v>7400000</v>
      </c>
      <c r="M102" s="703">
        <v>7400000</v>
      </c>
      <c r="N102" s="704">
        <v>7546000</v>
      </c>
      <c r="O102" s="733">
        <v>7400000</v>
      </c>
      <c r="P102" s="733">
        <v>9000000</v>
      </c>
      <c r="Q102" s="733">
        <v>9000000</v>
      </c>
      <c r="R102" s="704">
        <f>SUM(R11:R101)</f>
        <v>9000000</v>
      </c>
    </row>
    <row r="103" spans="1:18" ht="96" customHeight="1" thickBot="1" x14ac:dyDescent="0.35">
      <c r="A103" s="1113" t="s">
        <v>761</v>
      </c>
      <c r="B103" s="1114"/>
      <c r="C103" s="1114"/>
      <c r="D103" s="1114"/>
      <c r="E103" s="1114"/>
      <c r="F103" s="1114"/>
      <c r="G103" s="1114"/>
      <c r="H103" s="1114"/>
      <c r="I103" s="1114"/>
      <c r="J103" s="1114"/>
      <c r="K103" s="1114"/>
      <c r="L103" s="1114"/>
      <c r="M103" s="1115"/>
      <c r="N103" s="701"/>
      <c r="O103" s="732"/>
      <c r="P103" s="732"/>
      <c r="Q103" s="732"/>
      <c r="R103" s="976">
        <f>Q102-R102</f>
        <v>0</v>
      </c>
    </row>
    <row r="104" spans="1:18" x14ac:dyDescent="0.3">
      <c r="B104" s="705"/>
      <c r="C104" s="705"/>
      <c r="D104" s="705"/>
      <c r="E104" s="705"/>
      <c r="F104" s="705"/>
      <c r="G104" s="705"/>
      <c r="H104" s="705"/>
      <c r="I104" s="705"/>
      <c r="J104" s="705"/>
      <c r="K104" s="705"/>
      <c r="L104" s="705"/>
      <c r="M104" s="705"/>
      <c r="N104" s="705"/>
      <c r="O104" s="734"/>
      <c r="P104" s="734"/>
      <c r="Q104" s="734"/>
      <c r="R104" s="705"/>
    </row>
    <row r="105" spans="1:18" x14ac:dyDescent="0.3">
      <c r="B105" s="694" t="s">
        <v>1</v>
      </c>
      <c r="C105" s="694" t="s">
        <v>1</v>
      </c>
      <c r="D105" s="694" t="s">
        <v>1</v>
      </c>
      <c r="H105" s="694" t="s">
        <v>1</v>
      </c>
      <c r="O105" s="720"/>
      <c r="P105" s="864"/>
      <c r="Q105" s="864"/>
    </row>
    <row r="106" spans="1:18" x14ac:dyDescent="0.3">
      <c r="B106" s="694" t="s">
        <v>1</v>
      </c>
      <c r="C106" s="694" t="s">
        <v>1</v>
      </c>
      <c r="H106" s="694" t="s">
        <v>1</v>
      </c>
      <c r="I106" s="694" t="s">
        <v>1</v>
      </c>
      <c r="O106" s="720"/>
      <c r="P106" s="864"/>
      <c r="Q106" s="864"/>
    </row>
    <row r="107" spans="1:18" x14ac:dyDescent="0.3">
      <c r="C107" s="694" t="s">
        <v>1</v>
      </c>
      <c r="H107" s="694" t="s">
        <v>1</v>
      </c>
      <c r="O107" s="720"/>
      <c r="P107" s="864"/>
      <c r="Q107" s="864"/>
    </row>
    <row r="108" spans="1:18" x14ac:dyDescent="0.3">
      <c r="C108" s="694" t="s">
        <v>1</v>
      </c>
      <c r="O108" s="720"/>
      <c r="P108" s="864"/>
      <c r="Q108" s="864"/>
    </row>
    <row r="109" spans="1:18" x14ac:dyDescent="0.3">
      <c r="C109" s="694" t="s">
        <v>1</v>
      </c>
      <c r="O109" s="720"/>
      <c r="P109" s="864"/>
      <c r="Q109" s="864"/>
    </row>
  </sheetData>
  <mergeCells count="3">
    <mergeCell ref="A9:M9"/>
    <mergeCell ref="A103:M103"/>
    <mergeCell ref="G5:I5"/>
  </mergeCells>
  <pageMargins left="0.7" right="0.7" top="0.75" bottom="0.75" header="0.3" footer="0.3"/>
  <pageSetup paperSize="5" scale="59" fitToHeight="0" orientation="landscape" r:id="rId1"/>
  <headerFooter>
    <oddFooter xml:space="preserve">&amp;L&amp;"Arial,Bold Italic" 
&amp;X1&amp;X -  Pro-rata percentage applied, based on available appropriation. 
&amp;X2&amp;X - Amount reimbursable pursuant to statute and administrative rule.&amp;"Arial,Regular"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5"/>
  <sheetViews>
    <sheetView workbookViewId="0">
      <selection activeCell="A13" sqref="A13:XFD13"/>
    </sheetView>
  </sheetViews>
  <sheetFormatPr defaultRowHeight="13.2" x14ac:dyDescent="0.25"/>
  <cols>
    <col min="3" max="3" width="15.6640625" bestFit="1" customWidth="1"/>
    <col min="4" max="4" width="14" bestFit="1" customWidth="1"/>
    <col min="5" max="5" width="15.6640625" bestFit="1" customWidth="1"/>
    <col min="6" max="6" width="12.6640625" bestFit="1" customWidth="1"/>
    <col min="7" max="7" width="15.6640625" bestFit="1" customWidth="1"/>
    <col min="8" max="9" width="16.88671875" customWidth="1"/>
    <col min="10" max="10" width="15.6640625" customWidth="1"/>
    <col min="11" max="11" width="18.44140625" customWidth="1"/>
  </cols>
  <sheetData>
    <row r="1" spans="1:13" ht="15" x14ac:dyDescent="0.25">
      <c r="A1" s="1118" t="s">
        <v>701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657"/>
      <c r="M1" s="657"/>
    </row>
    <row r="2" spans="1:13" ht="15" x14ac:dyDescent="0.25">
      <c r="A2" s="1118" t="s">
        <v>886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657"/>
      <c r="M2" s="657"/>
    </row>
    <row r="3" spans="1:13" ht="14.4" thickBot="1" x14ac:dyDescent="0.3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</row>
    <row r="4" spans="1:13" ht="28.2" thickBot="1" x14ac:dyDescent="0.3">
      <c r="A4" s="659"/>
      <c r="B4" s="659"/>
      <c r="C4" s="677" t="s">
        <v>702</v>
      </c>
      <c r="D4" s="678" t="s">
        <v>525</v>
      </c>
      <c r="E4" s="679" t="s">
        <v>703</v>
      </c>
      <c r="F4" s="679" t="s">
        <v>704</v>
      </c>
      <c r="G4" s="680" t="s">
        <v>705</v>
      </c>
      <c r="H4" s="681" t="s">
        <v>706</v>
      </c>
      <c r="I4" s="681" t="s">
        <v>707</v>
      </c>
      <c r="J4" s="682" t="s">
        <v>708</v>
      </c>
      <c r="K4" s="683" t="s">
        <v>709</v>
      </c>
      <c r="L4" s="659"/>
      <c r="M4" s="659"/>
    </row>
    <row r="5" spans="1:13" ht="13.8" x14ac:dyDescent="0.25">
      <c r="A5" s="659" t="s">
        <v>710</v>
      </c>
      <c r="B5" s="659" t="s">
        <v>711</v>
      </c>
      <c r="C5" s="663">
        <v>7422619</v>
      </c>
      <c r="D5" s="660">
        <v>120164.54</v>
      </c>
      <c r="E5" s="668">
        <v>6565134.5</v>
      </c>
      <c r="F5" s="668">
        <v>77894.84</v>
      </c>
      <c r="G5" s="669">
        <v>6643029.3399999999</v>
      </c>
      <c r="H5" s="670">
        <v>656709.72</v>
      </c>
      <c r="I5" s="670">
        <v>2715.4</v>
      </c>
      <c r="J5" s="671">
        <v>659425.12</v>
      </c>
      <c r="K5" s="661">
        <v>8.8839952582774356E-2</v>
      </c>
      <c r="L5" s="658" t="s">
        <v>306</v>
      </c>
      <c r="M5" s="658"/>
    </row>
    <row r="6" spans="1:13" ht="13.8" x14ac:dyDescent="0.25">
      <c r="A6" s="659" t="s">
        <v>712</v>
      </c>
      <c r="B6" s="659" t="s">
        <v>713</v>
      </c>
      <c r="C6" s="663">
        <v>7027000</v>
      </c>
      <c r="D6" s="660">
        <v>136429.29999999999</v>
      </c>
      <c r="E6" s="668">
        <v>6124159.3300000001</v>
      </c>
      <c r="F6" s="668">
        <v>57390.12</v>
      </c>
      <c r="G6" s="669">
        <v>6181549.4500000002</v>
      </c>
      <c r="H6" s="670">
        <v>706543.85</v>
      </c>
      <c r="I6" s="670">
        <v>2477.4</v>
      </c>
      <c r="J6" s="671">
        <v>709021.25</v>
      </c>
      <c r="K6" s="661">
        <v>0.10089956595986907</v>
      </c>
      <c r="L6" s="658" t="s">
        <v>1</v>
      </c>
      <c r="M6" s="658"/>
    </row>
    <row r="7" spans="1:13" ht="13.8" x14ac:dyDescent="0.25">
      <c r="A7" s="659" t="s">
        <v>714</v>
      </c>
      <c r="B7" s="659" t="s">
        <v>715</v>
      </c>
      <c r="C7" s="663">
        <v>7400000</v>
      </c>
      <c r="D7" s="660">
        <v>140290.54</v>
      </c>
      <c r="E7" s="668">
        <v>6521931.7400000002</v>
      </c>
      <c r="F7" s="668">
        <v>54157.41</v>
      </c>
      <c r="G7" s="669">
        <v>6576089.1500000004</v>
      </c>
      <c r="H7" s="670">
        <v>680787.1</v>
      </c>
      <c r="I7" s="670">
        <v>2833.21</v>
      </c>
      <c r="J7" s="671">
        <v>683620.30999999994</v>
      </c>
      <c r="K7" s="661">
        <v>9.2381122972972962E-2</v>
      </c>
      <c r="L7" s="658" t="s">
        <v>1</v>
      </c>
      <c r="M7" s="657"/>
    </row>
    <row r="8" spans="1:13" ht="13.8" x14ac:dyDescent="0.25">
      <c r="A8" s="659" t="s">
        <v>716</v>
      </c>
      <c r="B8" s="659" t="s">
        <v>717</v>
      </c>
      <c r="C8" s="663">
        <v>7400000</v>
      </c>
      <c r="D8" s="660">
        <v>148397.68</v>
      </c>
      <c r="E8" s="668">
        <v>6507958.0700000003</v>
      </c>
      <c r="F8" s="668">
        <v>53236.02</v>
      </c>
      <c r="G8" s="669">
        <v>6561194.0899999999</v>
      </c>
      <c r="H8" s="670">
        <v>687900.43</v>
      </c>
      <c r="I8" s="670">
        <v>2507.8000000000002</v>
      </c>
      <c r="J8" s="671">
        <v>690408.2300000001</v>
      </c>
      <c r="K8" s="661">
        <v>9.3298409459459469E-2</v>
      </c>
      <c r="L8" s="658" t="s">
        <v>1</v>
      </c>
      <c r="M8" s="657"/>
    </row>
    <row r="9" spans="1:13" ht="13.8" x14ac:dyDescent="0.25">
      <c r="A9" s="665" t="s">
        <v>718</v>
      </c>
      <c r="B9" s="665" t="s">
        <v>719</v>
      </c>
      <c r="C9" s="663">
        <v>7546000</v>
      </c>
      <c r="D9" s="660">
        <v>166624.18</v>
      </c>
      <c r="E9" s="668">
        <v>6652647.9000000004</v>
      </c>
      <c r="F9" s="668">
        <v>49020.19</v>
      </c>
      <c r="G9" s="669">
        <v>6701668.0900000008</v>
      </c>
      <c r="H9" s="670">
        <v>674325.13</v>
      </c>
      <c r="I9" s="670">
        <v>3382.6</v>
      </c>
      <c r="J9" s="671">
        <v>677707.73</v>
      </c>
      <c r="K9" s="661">
        <v>8.981019480519481E-2</v>
      </c>
      <c r="L9" s="666" t="s">
        <v>1</v>
      </c>
      <c r="M9" s="667"/>
    </row>
    <row r="10" spans="1:13" ht="13.8" x14ac:dyDescent="0.25">
      <c r="A10" s="659" t="s">
        <v>720</v>
      </c>
      <c r="B10" s="659" t="s">
        <v>721</v>
      </c>
      <c r="C10" s="737">
        <v>7400000</v>
      </c>
      <c r="D10" s="735">
        <v>169888.94</v>
      </c>
      <c r="E10" s="738">
        <v>6523898.8499999996</v>
      </c>
      <c r="F10" s="738">
        <v>30440.22</v>
      </c>
      <c r="G10" s="739">
        <v>6554339.0700000003</v>
      </c>
      <c r="H10" s="740">
        <v>673398.19</v>
      </c>
      <c r="I10" s="740">
        <v>2373.8000000000002</v>
      </c>
      <c r="J10" s="741">
        <v>675771.99</v>
      </c>
      <c r="K10" s="736">
        <v>9.1300000000000006E-2</v>
      </c>
      <c r="L10" s="657"/>
      <c r="M10" s="657"/>
    </row>
    <row r="11" spans="1:13" s="864" customFormat="1" ht="13.8" x14ac:dyDescent="0.25">
      <c r="A11" s="659" t="s">
        <v>772</v>
      </c>
      <c r="B11" s="659" t="s">
        <v>849</v>
      </c>
      <c r="C11" s="737">
        <v>9000000</v>
      </c>
      <c r="D11" s="735">
        <v>168756.1</v>
      </c>
      <c r="E11" s="738">
        <v>8112485.3600000003</v>
      </c>
      <c r="F11" s="738">
        <v>38271.519999999997</v>
      </c>
      <c r="G11" s="739">
        <v>8150756.8799999999</v>
      </c>
      <c r="H11" s="740">
        <v>673671.42</v>
      </c>
      <c r="I11" s="740">
        <v>6815.6</v>
      </c>
      <c r="J11" s="741">
        <v>680487.02</v>
      </c>
      <c r="K11" s="736">
        <v>7.5600000000000001E-2</v>
      </c>
      <c r="L11" s="657"/>
      <c r="M11" s="657"/>
    </row>
    <row r="12" spans="1:13" s="720" customFormat="1" ht="13.8" x14ac:dyDescent="0.25">
      <c r="A12" s="659" t="s">
        <v>848</v>
      </c>
      <c r="B12" s="659" t="s">
        <v>850</v>
      </c>
      <c r="C12" s="663">
        <v>9000000</v>
      </c>
      <c r="D12" s="952">
        <v>187907.34</v>
      </c>
      <c r="E12" s="668">
        <v>8286047.6500000004</v>
      </c>
      <c r="F12" s="668">
        <v>17679.28</v>
      </c>
      <c r="G12" s="669">
        <v>8303726.9299999997</v>
      </c>
      <c r="H12" s="670">
        <v>508086.93</v>
      </c>
      <c r="I12" s="670">
        <v>278.8</v>
      </c>
      <c r="J12" s="671">
        <v>508365.73</v>
      </c>
      <c r="K12" s="661">
        <v>5.6500000000000002E-2</v>
      </c>
      <c r="L12" s="657"/>
      <c r="M12" s="657"/>
    </row>
    <row r="13" spans="1:13" ht="14.4" thickBot="1" x14ac:dyDescent="0.3">
      <c r="A13" s="665" t="s">
        <v>861</v>
      </c>
      <c r="B13" s="665" t="s">
        <v>885</v>
      </c>
      <c r="C13" s="664">
        <v>9000000</v>
      </c>
      <c r="D13" s="672">
        <f>'Payment T&amp;T LAWSON'!J90</f>
        <v>170527.22</v>
      </c>
      <c r="E13" s="673">
        <f>'Payment T&amp;T LAWSON'!I90</f>
        <v>8231552.6299999999</v>
      </c>
      <c r="F13" s="673">
        <f>'Payment T&amp;T LAWSON'!L90</f>
        <v>13230</v>
      </c>
      <c r="G13" s="674">
        <f>E13+F13</f>
        <v>8244782.6299999999</v>
      </c>
      <c r="H13" s="675">
        <f>'Payment T&amp;T LAWSON'!K90</f>
        <v>584690.15</v>
      </c>
      <c r="I13" s="675">
        <f>'Payment T&amp;T LAWSON'!M90</f>
        <v>0</v>
      </c>
      <c r="J13" s="676">
        <f>H13+I13</f>
        <v>584690.15</v>
      </c>
      <c r="K13" s="662">
        <f>J13/C13</f>
        <v>6.5000000000000002E-2</v>
      </c>
    </row>
    <row r="15" spans="1:13" x14ac:dyDescent="0.25">
      <c r="G15" s="257" t="s">
        <v>1</v>
      </c>
    </row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F23"/>
  <sheetViews>
    <sheetView topLeftCell="A4" workbookViewId="0">
      <selection activeCell="B21" sqref="B21:E21"/>
    </sheetView>
  </sheetViews>
  <sheetFormatPr defaultRowHeight="13.2" x14ac:dyDescent="0.25"/>
  <cols>
    <col min="2" max="2" width="15" customWidth="1"/>
    <col min="4" max="4" width="13.5546875" style="781" customWidth="1"/>
    <col min="5" max="5" width="19.5546875" customWidth="1"/>
  </cols>
  <sheetData>
    <row r="2" spans="1:6" x14ac:dyDescent="0.25">
      <c r="B2" t="s">
        <v>722</v>
      </c>
    </row>
    <row r="4" spans="1:6" ht="26.4" x14ac:dyDescent="0.25">
      <c r="D4" s="96" t="s">
        <v>800</v>
      </c>
      <c r="E4" s="96" t="s">
        <v>799</v>
      </c>
    </row>
    <row r="5" spans="1:6" s="864" customFormat="1" x14ac:dyDescent="0.25">
      <c r="B5" s="866" t="s">
        <v>810</v>
      </c>
      <c r="C5" s="866" t="s">
        <v>801</v>
      </c>
      <c r="D5" s="759" t="s">
        <v>820</v>
      </c>
      <c r="E5" s="233" t="s">
        <v>818</v>
      </c>
      <c r="F5" s="864" t="s">
        <v>819</v>
      </c>
    </row>
    <row r="6" spans="1:6" s="864" customFormat="1" x14ac:dyDescent="0.25">
      <c r="B6" s="866" t="s">
        <v>809</v>
      </c>
      <c r="C6" s="866" t="s">
        <v>802</v>
      </c>
      <c r="D6" s="759" t="s">
        <v>820</v>
      </c>
      <c r="E6" s="233" t="s">
        <v>818</v>
      </c>
      <c r="F6" s="864" t="s">
        <v>819</v>
      </c>
    </row>
    <row r="7" spans="1:6" s="864" customFormat="1" x14ac:dyDescent="0.25">
      <c r="B7" s="866" t="s">
        <v>811</v>
      </c>
      <c r="C7" s="866" t="s">
        <v>803</v>
      </c>
      <c r="D7" s="864">
        <v>2326</v>
      </c>
      <c r="E7" s="865" t="s">
        <v>818</v>
      </c>
      <c r="F7" s="864" t="s">
        <v>819</v>
      </c>
    </row>
    <row r="8" spans="1:6" s="864" customFormat="1" x14ac:dyDescent="0.25">
      <c r="B8" s="866" t="s">
        <v>812</v>
      </c>
      <c r="C8" s="866" t="s">
        <v>804</v>
      </c>
      <c r="D8" s="864">
        <v>2321.5</v>
      </c>
      <c r="E8" s="865" t="s">
        <v>818</v>
      </c>
      <c r="F8" s="864">
        <v>15</v>
      </c>
    </row>
    <row r="9" spans="1:6" s="864" customFormat="1" x14ac:dyDescent="0.25">
      <c r="B9" s="866" t="s">
        <v>813</v>
      </c>
      <c r="C9" s="866" t="s">
        <v>805</v>
      </c>
      <c r="D9" s="864">
        <v>2243.5</v>
      </c>
      <c r="E9" s="865" t="s">
        <v>818</v>
      </c>
      <c r="F9" s="864">
        <v>29.5</v>
      </c>
    </row>
    <row r="10" spans="1:6" s="864" customFormat="1" x14ac:dyDescent="0.25">
      <c r="B10" s="866" t="s">
        <v>814</v>
      </c>
      <c r="C10" s="866" t="s">
        <v>806</v>
      </c>
      <c r="D10" s="864">
        <v>2327.5</v>
      </c>
      <c r="E10" s="865" t="s">
        <v>818</v>
      </c>
      <c r="F10" s="864">
        <v>97</v>
      </c>
    </row>
    <row r="11" spans="1:6" s="864" customFormat="1" x14ac:dyDescent="0.25">
      <c r="B11" s="866" t="s">
        <v>815</v>
      </c>
      <c r="C11" s="866" t="s">
        <v>807</v>
      </c>
      <c r="D11" s="864">
        <v>2475.5</v>
      </c>
      <c r="E11" s="865" t="s">
        <v>818</v>
      </c>
      <c r="F11" s="864">
        <v>107.5</v>
      </c>
    </row>
    <row r="12" spans="1:6" s="864" customFormat="1" x14ac:dyDescent="0.25">
      <c r="A12" s="372"/>
      <c r="B12" s="868" t="s">
        <v>816</v>
      </c>
      <c r="C12" s="868" t="s">
        <v>808</v>
      </c>
      <c r="D12" s="372">
        <v>2192.5</v>
      </c>
      <c r="E12" s="869" t="s">
        <v>818</v>
      </c>
      <c r="F12" s="372">
        <v>100</v>
      </c>
    </row>
    <row r="13" spans="1:6" s="864" customFormat="1" x14ac:dyDescent="0.25">
      <c r="A13" s="864">
        <v>1</v>
      </c>
      <c r="B13" s="866" t="s">
        <v>817</v>
      </c>
      <c r="C13" s="866" t="s">
        <v>710</v>
      </c>
      <c r="D13" s="870">
        <v>2017.50001</v>
      </c>
      <c r="E13" s="867">
        <v>3224.38</v>
      </c>
      <c r="F13" s="864">
        <v>38</v>
      </c>
    </row>
    <row r="14" spans="1:6" x14ac:dyDescent="0.25">
      <c r="A14" s="864">
        <v>2</v>
      </c>
      <c r="B14" t="s">
        <v>723</v>
      </c>
      <c r="C14" t="s">
        <v>712</v>
      </c>
      <c r="D14" s="863">
        <v>2126.3373999999999</v>
      </c>
      <c r="E14" s="684">
        <v>2887.1977000000002</v>
      </c>
      <c r="F14" s="866" t="s">
        <v>824</v>
      </c>
    </row>
    <row r="15" spans="1:6" x14ac:dyDescent="0.25">
      <c r="A15" s="864">
        <v>3</v>
      </c>
      <c r="B15" t="s">
        <v>724</v>
      </c>
      <c r="C15" t="s">
        <v>714</v>
      </c>
      <c r="D15" s="863">
        <v>2026.1749500000001</v>
      </c>
      <c r="E15" s="684">
        <v>3214.4596649999999</v>
      </c>
      <c r="F15" t="s">
        <v>822</v>
      </c>
    </row>
    <row r="16" spans="1:6" x14ac:dyDescent="0.25">
      <c r="A16" s="864">
        <v>4</v>
      </c>
      <c r="B16" t="s">
        <v>725</v>
      </c>
      <c r="C16" t="s">
        <v>716</v>
      </c>
      <c r="D16" s="863">
        <v>1996.50415</v>
      </c>
      <c r="E16" s="684">
        <v>3276.0858969999999</v>
      </c>
      <c r="F16" t="s">
        <v>821</v>
      </c>
    </row>
    <row r="17" spans="1:6" x14ac:dyDescent="0.25">
      <c r="A17" s="864">
        <v>5</v>
      </c>
      <c r="B17" t="s">
        <v>726</v>
      </c>
      <c r="C17" t="s">
        <v>718</v>
      </c>
      <c r="D17" s="863">
        <v>1998.1717000000001</v>
      </c>
      <c r="E17" s="684">
        <v>3346.6746579999999</v>
      </c>
      <c r="F17" t="s">
        <v>823</v>
      </c>
    </row>
    <row r="18" spans="1:6" s="487" customFormat="1" x14ac:dyDescent="0.25">
      <c r="A18" s="864">
        <v>6</v>
      </c>
      <c r="B18" s="248" t="s">
        <v>728</v>
      </c>
      <c r="C18" s="248" t="s">
        <v>720</v>
      </c>
      <c r="D18" s="863">
        <v>1993.8393000000001</v>
      </c>
      <c r="E18" s="742">
        <v>3282.18</v>
      </c>
      <c r="F18" s="487" t="s">
        <v>879</v>
      </c>
    </row>
    <row r="19" spans="1:6" s="864" customFormat="1" x14ac:dyDescent="0.25">
      <c r="A19" s="864">
        <v>7</v>
      </c>
      <c r="B19" s="866" t="s">
        <v>771</v>
      </c>
      <c r="C19" s="866" t="s">
        <v>772</v>
      </c>
      <c r="D19" s="863">
        <v>2141.5001499999998</v>
      </c>
      <c r="E19" s="742">
        <v>3800.06</v>
      </c>
    </row>
    <row r="20" spans="1:6" s="720" customFormat="1" x14ac:dyDescent="0.25">
      <c r="A20" s="720">
        <v>8</v>
      </c>
      <c r="B20" s="721" t="s">
        <v>851</v>
      </c>
      <c r="C20" s="721" t="s">
        <v>848</v>
      </c>
      <c r="D20" s="721">
        <v>2292.0005000000001</v>
      </c>
      <c r="E20" s="724">
        <v>3617.31</v>
      </c>
    </row>
    <row r="21" spans="1:6" s="864" customFormat="1" x14ac:dyDescent="0.25">
      <c r="A21" s="864">
        <v>9</v>
      </c>
      <c r="B21" s="866" t="s">
        <v>887</v>
      </c>
      <c r="C21" s="866" t="s">
        <v>861</v>
      </c>
      <c r="D21" s="866">
        <f>'TT entry &amp; transportation'!K238</f>
        <v>2208.9998000000001</v>
      </c>
      <c r="E21" s="724">
        <f>'TT entry &amp; transportation'!B266</f>
        <v>3726.37</v>
      </c>
    </row>
    <row r="23" spans="1:6" x14ac:dyDescent="0.25">
      <c r="A23" t="s">
        <v>727</v>
      </c>
      <c r="E23" s="488">
        <f>SUM(E13:E21)/10</f>
        <v>3037.47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>
      <selection activeCell="K31" sqref="K31"/>
    </sheetView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10</vt:i4>
      </vt:variant>
    </vt:vector>
  </HeadingPairs>
  <TitlesOfParts>
    <vt:vector size="65" baseType="lpstr">
      <vt:lpstr>TT entry &amp; transportation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Sheet11</vt:lpstr>
      <vt:lpstr>Sheet1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ALT-ED</vt:lpstr>
      <vt:lpstr>Sheet42</vt:lpstr>
      <vt:lpstr>T&amp;T Payment Checklist</vt:lpstr>
      <vt:lpstr>Differential</vt:lpstr>
      <vt:lpstr>CTE TRANS</vt:lpstr>
      <vt:lpstr>Payment T&amp;T LAWSON</vt:lpstr>
      <vt:lpstr>Sheet12</vt:lpstr>
      <vt:lpstr>Sheet13</vt:lpstr>
      <vt:lpstr>Sheet14</vt:lpstr>
      <vt:lpstr>Payment Breakdowns</vt:lpstr>
      <vt:lpstr>VT Payment Breakdowns</vt:lpstr>
      <vt:lpstr>FY22 Est. to Fully Fund T&amp;T</vt:lpstr>
      <vt:lpstr>Sheet34</vt:lpstr>
      <vt:lpstr>Sheet35</vt:lpstr>
      <vt:lpstr>Sheet36</vt:lpstr>
      <vt:lpstr>Sheet37</vt:lpstr>
      <vt:lpstr>T&amp;T Report for Website</vt:lpstr>
      <vt:lpstr>T&amp;T Report for Admin Srvs</vt:lpstr>
      <vt:lpstr>T&amp;T Payment Summary</vt:lpstr>
      <vt:lpstr>Tuition Reimb. Rate Ave.</vt:lpstr>
      <vt:lpstr>Sheet38</vt:lpstr>
      <vt:lpstr>Sheet39</vt:lpstr>
      <vt:lpstr>Sheet40</vt:lpstr>
      <vt:lpstr>Sheet41</vt:lpstr>
      <vt:lpstr>Sheet2</vt:lpstr>
      <vt:lpstr>Differential!Print_Area</vt:lpstr>
      <vt:lpstr>'FY22 Est. to Fully Fund T&amp;T'!Print_Area</vt:lpstr>
      <vt:lpstr>'Payment Breakdowns'!Print_Area</vt:lpstr>
      <vt:lpstr>'Payment T&amp;T LAWSON'!Print_Area</vt:lpstr>
      <vt:lpstr>'T&amp;T Report for Website'!Print_Area</vt:lpstr>
      <vt:lpstr>'TT entry &amp; transportation'!Print_Area</vt:lpstr>
      <vt:lpstr>'VT Payment Breakdowns'!Print_Area</vt:lpstr>
      <vt:lpstr>'Payment T&amp;T LAWSON'!Print_Titles</vt:lpstr>
      <vt:lpstr>'T&amp;T Report for Admin Srvs'!Print_Titles</vt:lpstr>
      <vt:lpstr>'TT entry &amp; transportation'!Print_Titles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Tuition &amp; Transportation</dc:title>
  <dc:creator>NH Dept of Education</dc:creator>
  <cp:lastModifiedBy>Maffei, Kathryn</cp:lastModifiedBy>
  <cp:lastPrinted>2021-09-28T13:14:20Z</cp:lastPrinted>
  <dcterms:created xsi:type="dcterms:W3CDTF">1998-02-09T17:52:38Z</dcterms:created>
  <dcterms:modified xsi:type="dcterms:W3CDTF">2022-05-19T16:27:09Z</dcterms:modified>
</cp:coreProperties>
</file>